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0" windowWidth="20490" windowHeight="7755" tabRatio="846"/>
  </bookViews>
  <sheets>
    <sheet name="SPE" sheetId="2" r:id="rId1"/>
    <sheet name="Simulations" sheetId="7" r:id="rId2"/>
  </sheets>
  <definedNames>
    <definedName name="_xlnm.Print_Area" localSheetId="1">Simulations!$A$2:$D$13</definedName>
    <definedName name="_xlnm.Print_Area" localSheetId="0">SPE!$F$2:$AP$40</definedName>
  </definedNames>
  <calcPr calcId="152511"/>
</workbook>
</file>

<file path=xl/calcChain.xml><?xml version="1.0" encoding="utf-8"?>
<calcChain xmlns="http://schemas.openxmlformats.org/spreadsheetml/2006/main">
  <c r="K9" i="2" l="1"/>
  <c r="K12" i="2"/>
  <c r="K11" i="2"/>
  <c r="K10" i="2"/>
  <c r="K8" i="2"/>
  <c r="K6" i="2"/>
  <c r="K7" i="2"/>
  <c r="L27" i="2" l="1"/>
  <c r="Q27" i="2" s="1"/>
  <c r="V27" i="2" s="1"/>
  <c r="AA27" i="2" s="1"/>
  <c r="AF27" i="2" s="1"/>
  <c r="AK27" i="2" s="1"/>
  <c r="AP27" i="2" s="1"/>
  <c r="C14" i="2"/>
  <c r="C15" i="2"/>
  <c r="L11" i="2"/>
  <c r="M11" i="2" s="1"/>
  <c r="N11" i="2" s="1"/>
  <c r="O11" i="2" s="1"/>
  <c r="P11" i="2" s="1"/>
  <c r="Q11" i="2" s="1"/>
  <c r="R11" i="2" s="1"/>
  <c r="S11" i="2" s="1"/>
  <c r="T11" i="2" s="1"/>
  <c r="U11" i="2" s="1"/>
  <c r="V11" i="2" s="1"/>
  <c r="W11" i="2" s="1"/>
  <c r="X11" i="2" s="1"/>
  <c r="Y11" i="2" s="1"/>
  <c r="Z11" i="2" s="1"/>
  <c r="AA11" i="2" s="1"/>
  <c r="AB11" i="2" s="1"/>
  <c r="AC11" i="2" s="1"/>
  <c r="AD11" i="2" s="1"/>
  <c r="AE11" i="2" s="1"/>
  <c r="AF11" i="2" s="1"/>
  <c r="AG11" i="2" s="1"/>
  <c r="AH11" i="2" s="1"/>
  <c r="AI11" i="2" s="1"/>
  <c r="AJ11" i="2" s="1"/>
  <c r="AK11" i="2" s="1"/>
  <c r="AL11" i="2" s="1"/>
  <c r="AM11" i="2" s="1"/>
  <c r="AN11" i="2" s="1"/>
  <c r="AO11" i="2" s="1"/>
  <c r="AP11" i="2" s="1"/>
  <c r="L6" i="2"/>
  <c r="M6" i="2" s="1"/>
  <c r="N6" i="2" s="1"/>
  <c r="O6" i="2" s="1"/>
  <c r="P6" i="2" s="1"/>
  <c r="Q6" i="2" s="1"/>
  <c r="R6" i="2" s="1"/>
  <c r="S6" i="2" s="1"/>
  <c r="T6" i="2" s="1"/>
  <c r="U6" i="2" s="1"/>
  <c r="V6" i="2" s="1"/>
  <c r="W6" i="2" s="1"/>
  <c r="X6" i="2" s="1"/>
  <c r="Y6" i="2" s="1"/>
  <c r="Z6" i="2" s="1"/>
  <c r="AA6" i="2" s="1"/>
  <c r="AB6" i="2" s="1"/>
  <c r="AC6" i="2" s="1"/>
  <c r="AD6" i="2" s="1"/>
  <c r="AE6" i="2" s="1"/>
  <c r="AF6" i="2" s="1"/>
  <c r="AG6" i="2" s="1"/>
  <c r="AH6" i="2" s="1"/>
  <c r="AI6" i="2" s="1"/>
  <c r="AJ6" i="2" s="1"/>
  <c r="AK6" i="2" s="1"/>
  <c r="AL6" i="2" s="1"/>
  <c r="AM6" i="2" s="1"/>
  <c r="AN6" i="2" s="1"/>
  <c r="AO6" i="2" s="1"/>
  <c r="AP6" i="2" s="1"/>
  <c r="K19" i="2"/>
  <c r="L19" i="2" s="1"/>
  <c r="L18" i="2" s="1"/>
  <c r="L12" i="2"/>
  <c r="M12" i="2" s="1"/>
  <c r="N12" i="2" s="1"/>
  <c r="O12" i="2" s="1"/>
  <c r="P12" i="2" s="1"/>
  <c r="Q12" i="2" s="1"/>
  <c r="R12" i="2" s="1"/>
  <c r="S12" i="2" s="1"/>
  <c r="T12" i="2" s="1"/>
  <c r="U12" i="2" s="1"/>
  <c r="V12" i="2" s="1"/>
  <c r="W12" i="2" s="1"/>
  <c r="X12" i="2" s="1"/>
  <c r="Y12" i="2" s="1"/>
  <c r="Z12" i="2" s="1"/>
  <c r="AA12" i="2" s="1"/>
  <c r="AB12" i="2" s="1"/>
  <c r="AC12" i="2" s="1"/>
  <c r="AD12" i="2" s="1"/>
  <c r="AE12" i="2" s="1"/>
  <c r="AF12" i="2" s="1"/>
  <c r="AG12" i="2" s="1"/>
  <c r="AH12" i="2" s="1"/>
  <c r="AI12" i="2" s="1"/>
  <c r="AJ12" i="2" s="1"/>
  <c r="AK12" i="2" s="1"/>
  <c r="AL12" i="2" s="1"/>
  <c r="AM12" i="2" s="1"/>
  <c r="AN12" i="2" s="1"/>
  <c r="AO12" i="2" s="1"/>
  <c r="AP12" i="2" s="1"/>
  <c r="K17" i="2"/>
  <c r="L9" i="2"/>
  <c r="M9" i="2" s="1"/>
  <c r="N9" i="2" s="1"/>
  <c r="O9" i="2" s="1"/>
  <c r="P9" i="2" s="1"/>
  <c r="Q9" i="2" s="1"/>
  <c r="R9" i="2" s="1"/>
  <c r="S9" i="2" s="1"/>
  <c r="T9" i="2" s="1"/>
  <c r="U9" i="2" s="1"/>
  <c r="V9" i="2" s="1"/>
  <c r="W9" i="2" s="1"/>
  <c r="X9" i="2" s="1"/>
  <c r="Y9" i="2" s="1"/>
  <c r="Z9" i="2" s="1"/>
  <c r="AA9" i="2" s="1"/>
  <c r="AB9" i="2" s="1"/>
  <c r="AC9" i="2" s="1"/>
  <c r="AD9" i="2" s="1"/>
  <c r="AE9" i="2" s="1"/>
  <c r="AF9" i="2" s="1"/>
  <c r="AG9" i="2" s="1"/>
  <c r="AH9" i="2" s="1"/>
  <c r="AI9" i="2" s="1"/>
  <c r="AJ9" i="2" s="1"/>
  <c r="AK9" i="2" s="1"/>
  <c r="AL9" i="2" s="1"/>
  <c r="AM9" i="2" s="1"/>
  <c r="AN9" i="2" s="1"/>
  <c r="AO9" i="2" s="1"/>
  <c r="AP9" i="2" s="1"/>
  <c r="L8" i="2"/>
  <c r="M8" i="2" s="1"/>
  <c r="N8" i="2" s="1"/>
  <c r="O8" i="2" s="1"/>
  <c r="P8" i="2" s="1"/>
  <c r="Q8" i="2" s="1"/>
  <c r="R8" i="2" s="1"/>
  <c r="S8" i="2" s="1"/>
  <c r="T8" i="2" s="1"/>
  <c r="U8" i="2" s="1"/>
  <c r="V8" i="2" s="1"/>
  <c r="W8" i="2" s="1"/>
  <c r="X8" i="2" s="1"/>
  <c r="Y8" i="2" s="1"/>
  <c r="Z8" i="2" s="1"/>
  <c r="AA8" i="2" s="1"/>
  <c r="AB8" i="2" s="1"/>
  <c r="AC8" i="2" s="1"/>
  <c r="AD8" i="2" s="1"/>
  <c r="AE8" i="2" s="1"/>
  <c r="AF8" i="2" s="1"/>
  <c r="AG8" i="2" s="1"/>
  <c r="AH8" i="2" s="1"/>
  <c r="AI8" i="2" s="1"/>
  <c r="AJ8" i="2" s="1"/>
  <c r="AK8" i="2" s="1"/>
  <c r="AL8" i="2" s="1"/>
  <c r="AM8" i="2" s="1"/>
  <c r="AN8" i="2" s="1"/>
  <c r="AO8" i="2" s="1"/>
  <c r="AP8" i="2" s="1"/>
  <c r="L7" i="2"/>
  <c r="M7" i="2" s="1"/>
  <c r="N7" i="2" s="1"/>
  <c r="O7" i="2" s="1"/>
  <c r="P7" i="2" s="1"/>
  <c r="Q7" i="2" s="1"/>
  <c r="R7" i="2" s="1"/>
  <c r="S7" i="2" s="1"/>
  <c r="T7" i="2" s="1"/>
  <c r="U7" i="2" s="1"/>
  <c r="V7" i="2" s="1"/>
  <c r="W7" i="2" s="1"/>
  <c r="X7" i="2" s="1"/>
  <c r="Y7" i="2" s="1"/>
  <c r="Z7" i="2" s="1"/>
  <c r="AA7" i="2" s="1"/>
  <c r="AB7" i="2" s="1"/>
  <c r="AC7" i="2" s="1"/>
  <c r="AD7" i="2" s="1"/>
  <c r="AE7" i="2" s="1"/>
  <c r="AF7" i="2" s="1"/>
  <c r="AG7" i="2" s="1"/>
  <c r="AH7" i="2" s="1"/>
  <c r="AI7" i="2" s="1"/>
  <c r="AJ7" i="2" s="1"/>
  <c r="AK7" i="2" s="1"/>
  <c r="AL7" i="2" s="1"/>
  <c r="AM7" i="2" s="1"/>
  <c r="AN7" i="2" s="1"/>
  <c r="AO7" i="2" s="1"/>
  <c r="AP7" i="2" s="1"/>
  <c r="C17" i="2"/>
  <c r="C13" i="2" s="1"/>
  <c r="H16" i="2"/>
  <c r="I16" i="2" s="1"/>
  <c r="J16" i="2" s="1"/>
  <c r="K16" i="2" s="1"/>
  <c r="L16" i="2" s="1"/>
  <c r="M16" i="2" s="1"/>
  <c r="N16" i="2" s="1"/>
  <c r="O16" i="2" s="1"/>
  <c r="P16" i="2" s="1"/>
  <c r="Q16" i="2" s="1"/>
  <c r="R16" i="2" s="1"/>
  <c r="S16" i="2" s="1"/>
  <c r="T16" i="2" s="1"/>
  <c r="U16" i="2" s="1"/>
  <c r="V16" i="2" s="1"/>
  <c r="W16" i="2" s="1"/>
  <c r="X16" i="2" s="1"/>
  <c r="Y16" i="2" s="1"/>
  <c r="Z16" i="2" s="1"/>
  <c r="AA16" i="2" s="1"/>
  <c r="AB16" i="2" s="1"/>
  <c r="AC16" i="2" s="1"/>
  <c r="AD16" i="2" s="1"/>
  <c r="AE16" i="2" s="1"/>
  <c r="AF16" i="2" s="1"/>
  <c r="AG16" i="2" s="1"/>
  <c r="AH16" i="2" s="1"/>
  <c r="AI16" i="2" s="1"/>
  <c r="AJ16" i="2" s="1"/>
  <c r="AK16" i="2" s="1"/>
  <c r="AL16" i="2" s="1"/>
  <c r="AM16" i="2" s="1"/>
  <c r="AN16" i="2" s="1"/>
  <c r="AO16" i="2" s="1"/>
  <c r="AP16" i="2" s="1"/>
  <c r="G16" i="2"/>
  <c r="C10" i="2"/>
  <c r="C9" i="2"/>
  <c r="C8" i="2"/>
  <c r="C7" i="2"/>
  <c r="K28" i="2"/>
  <c r="L28" i="2" s="1"/>
  <c r="M28" i="2" s="1"/>
  <c r="N28" i="2" s="1"/>
  <c r="O28" i="2" s="1"/>
  <c r="P28" i="2" s="1"/>
  <c r="Q28" i="2" s="1"/>
  <c r="R28" i="2" s="1"/>
  <c r="S28" i="2" s="1"/>
  <c r="T28" i="2" s="1"/>
  <c r="U28" i="2" s="1"/>
  <c r="V28" i="2" s="1"/>
  <c r="W28" i="2" s="1"/>
  <c r="X28" i="2" s="1"/>
  <c r="Y28" i="2" s="1"/>
  <c r="Z28" i="2" s="1"/>
  <c r="AA28" i="2" s="1"/>
  <c r="AB28" i="2" s="1"/>
  <c r="AC28" i="2" s="1"/>
  <c r="AD28" i="2" s="1"/>
  <c r="AE28" i="2" s="1"/>
  <c r="AF28" i="2" s="1"/>
  <c r="AG28" i="2" s="1"/>
  <c r="AH28" i="2" s="1"/>
  <c r="AI28" i="2" s="1"/>
  <c r="AJ28" i="2" s="1"/>
  <c r="AK28" i="2" s="1"/>
  <c r="AL28" i="2" s="1"/>
  <c r="AM28" i="2" s="1"/>
  <c r="AN28" i="2" s="1"/>
  <c r="AO28" i="2" s="1"/>
  <c r="AP28" i="2" s="1"/>
  <c r="J28" i="2"/>
  <c r="I28" i="2"/>
  <c r="H28" i="2"/>
  <c r="G5" i="2"/>
  <c r="L10" i="2" l="1"/>
  <c r="L17" i="2" s="1"/>
  <c r="K18" i="2"/>
  <c r="M10" i="2"/>
  <c r="N10" i="2" s="1"/>
  <c r="N17" i="2" s="1"/>
  <c r="M19" i="2"/>
  <c r="C6" i="2"/>
  <c r="C4" i="2" s="1"/>
  <c r="K5" i="2"/>
  <c r="C33" i="2" l="1"/>
  <c r="C34" i="2"/>
  <c r="C29" i="2"/>
  <c r="H21" i="2" s="1"/>
  <c r="C28" i="2"/>
  <c r="C31" i="2"/>
  <c r="J21" i="2" s="1"/>
  <c r="C30" i="2"/>
  <c r="I21" i="2" s="1"/>
  <c r="M17" i="2"/>
  <c r="O10" i="2"/>
  <c r="P10" i="2" s="1"/>
  <c r="N19" i="2"/>
  <c r="M18" i="2"/>
  <c r="K30" i="2"/>
  <c r="K32" i="2"/>
  <c r="K34" i="2"/>
  <c r="K31" i="2"/>
  <c r="K33" i="2"/>
  <c r="M5" i="2"/>
  <c r="L5" i="2"/>
  <c r="G21" i="2" l="1"/>
  <c r="J19" i="2"/>
  <c r="J18" i="2" s="1"/>
  <c r="J12" i="2"/>
  <c r="J8" i="2"/>
  <c r="I11" i="2"/>
  <c r="I7" i="2"/>
  <c r="H10" i="2"/>
  <c r="H17" i="2" s="1"/>
  <c r="H6" i="2"/>
  <c r="H5" i="2" s="1"/>
  <c r="I19" i="2"/>
  <c r="I18" i="2" s="1"/>
  <c r="J11" i="2"/>
  <c r="J7" i="2"/>
  <c r="I10" i="2"/>
  <c r="I17" i="2" s="1"/>
  <c r="I6" i="2"/>
  <c r="H9" i="2"/>
  <c r="J9" i="2"/>
  <c r="I8" i="2"/>
  <c r="H7" i="2"/>
  <c r="H19" i="2"/>
  <c r="H18" i="2" s="1"/>
  <c r="J10" i="2"/>
  <c r="J17" i="2" s="1"/>
  <c r="J6" i="2"/>
  <c r="J5" i="2" s="1"/>
  <c r="I9" i="2"/>
  <c r="H12" i="2"/>
  <c r="H8" i="2"/>
  <c r="I12" i="2"/>
  <c r="H11" i="2"/>
  <c r="G44" i="2"/>
  <c r="G14" i="2"/>
  <c r="O17" i="2"/>
  <c r="Q10" i="2"/>
  <c r="P17" i="2"/>
  <c r="N18" i="2"/>
  <c r="O19" i="2"/>
  <c r="M31" i="2"/>
  <c r="M33" i="2"/>
  <c r="M30" i="2"/>
  <c r="M32" i="2"/>
  <c r="M34" i="2"/>
  <c r="L30" i="2"/>
  <c r="L32" i="2"/>
  <c r="L34" i="2"/>
  <c r="L31" i="2"/>
  <c r="L33" i="2"/>
  <c r="K29" i="2"/>
  <c r="K14" i="2" s="1"/>
  <c r="J30" i="2" l="1"/>
  <c r="J34" i="2"/>
  <c r="J31" i="2"/>
  <c r="J33" i="2"/>
  <c r="H30" i="2"/>
  <c r="H31" i="2"/>
  <c r="H33" i="2"/>
  <c r="H34" i="2"/>
  <c r="I5" i="2"/>
  <c r="G37" i="2"/>
  <c r="G39" i="2" s="1"/>
  <c r="G38" i="2"/>
  <c r="P19" i="2"/>
  <c r="O18" i="2"/>
  <c r="R10" i="2"/>
  <c r="Q17" i="2"/>
  <c r="K37" i="2"/>
  <c r="K38" i="2"/>
  <c r="K44" i="2" s="1"/>
  <c r="M29" i="2"/>
  <c r="M14" i="2" s="1"/>
  <c r="N5" i="2"/>
  <c r="L29" i="2"/>
  <c r="L14" i="2" s="1"/>
  <c r="I30" i="2" l="1"/>
  <c r="I34" i="2"/>
  <c r="I31" i="2"/>
  <c r="I33" i="2"/>
  <c r="H29" i="2"/>
  <c r="H14" i="2" s="1"/>
  <c r="J29" i="2"/>
  <c r="J14" i="2" s="1"/>
  <c r="S10" i="2"/>
  <c r="R17" i="2"/>
  <c r="Q19" i="2"/>
  <c r="P18" i="2"/>
  <c r="N31" i="2"/>
  <c r="N30" i="2"/>
  <c r="N32" i="2"/>
  <c r="N34" i="2"/>
  <c r="N33" i="2"/>
  <c r="L37" i="2"/>
  <c r="L38" i="2"/>
  <c r="L44" i="2" s="1"/>
  <c r="M37" i="2"/>
  <c r="M38" i="2"/>
  <c r="M44" i="2" s="1"/>
  <c r="H37" i="2"/>
  <c r="H39" i="2" s="1"/>
  <c r="H38" i="2"/>
  <c r="O5" i="2"/>
  <c r="J37" i="2" l="1"/>
  <c r="J38" i="2"/>
  <c r="I29" i="2"/>
  <c r="I14" i="2" s="1"/>
  <c r="R19" i="2"/>
  <c r="Q18" i="2"/>
  <c r="T10" i="2"/>
  <c r="S17" i="2"/>
  <c r="O30" i="2"/>
  <c r="O32" i="2"/>
  <c r="O34" i="2"/>
  <c r="O31" i="2"/>
  <c r="O33" i="2"/>
  <c r="P5" i="2"/>
  <c r="N29" i="2"/>
  <c r="N14" i="2" s="1"/>
  <c r="I38" i="2" l="1"/>
  <c r="I37" i="2"/>
  <c r="I39" i="2" s="1"/>
  <c r="J39" i="2" s="1"/>
  <c r="K39" i="2" s="1"/>
  <c r="L39" i="2" s="1"/>
  <c r="M39" i="2" s="1"/>
  <c r="U10" i="2"/>
  <c r="T17" i="2"/>
  <c r="S19" i="2"/>
  <c r="R18" i="2"/>
  <c r="P30" i="2"/>
  <c r="P32" i="2"/>
  <c r="P31" i="2"/>
  <c r="P33" i="2"/>
  <c r="P34" i="2"/>
  <c r="N37" i="2"/>
  <c r="N38" i="2"/>
  <c r="N44" i="2" s="1"/>
  <c r="Q5" i="2"/>
  <c r="O29" i="2"/>
  <c r="O14" i="2" s="1"/>
  <c r="N39" i="2" l="1"/>
  <c r="T19" i="2"/>
  <c r="S18" i="2"/>
  <c r="V10" i="2"/>
  <c r="U17" i="2"/>
  <c r="Q31" i="2"/>
  <c r="Q33" i="2"/>
  <c r="Q30" i="2"/>
  <c r="Q32" i="2"/>
  <c r="Q34" i="2"/>
  <c r="O37" i="2"/>
  <c r="O39" i="2" s="1"/>
  <c r="O38" i="2"/>
  <c r="O44" i="2" s="1"/>
  <c r="R5" i="2"/>
  <c r="P29" i="2"/>
  <c r="P14" i="2" s="1"/>
  <c r="W10" i="2" l="1"/>
  <c r="V17" i="2"/>
  <c r="U19" i="2"/>
  <c r="T18" i="2"/>
  <c r="R31" i="2"/>
  <c r="R33" i="2"/>
  <c r="R30" i="2"/>
  <c r="R32" i="2"/>
  <c r="R34" i="2"/>
  <c r="P37" i="2"/>
  <c r="P39" i="2" s="1"/>
  <c r="P38" i="2"/>
  <c r="P44" i="2" s="1"/>
  <c r="S5" i="2"/>
  <c r="Q29" i="2"/>
  <c r="Q14" i="2" s="1"/>
  <c r="V19" i="2" l="1"/>
  <c r="U18" i="2"/>
  <c r="X10" i="2"/>
  <c r="W17" i="2"/>
  <c r="S30" i="2"/>
  <c r="S32" i="2"/>
  <c r="S34" i="2"/>
  <c r="S31" i="2"/>
  <c r="S33" i="2"/>
  <c r="Q37" i="2"/>
  <c r="Q39" i="2" s="1"/>
  <c r="Q38" i="2"/>
  <c r="Q44" i="2" s="1"/>
  <c r="T5" i="2"/>
  <c r="R29" i="2"/>
  <c r="R14" i="2" s="1"/>
  <c r="Y10" i="2" l="1"/>
  <c r="X17" i="2"/>
  <c r="W19" i="2"/>
  <c r="V18" i="2"/>
  <c r="T30" i="2"/>
  <c r="T32" i="2"/>
  <c r="T34" i="2"/>
  <c r="T31" i="2"/>
  <c r="T33" i="2"/>
  <c r="R37" i="2"/>
  <c r="R39" i="2" s="1"/>
  <c r="R38" i="2"/>
  <c r="R44" i="2" s="1"/>
  <c r="S29" i="2"/>
  <c r="S14" i="2" s="1"/>
  <c r="U5" i="2"/>
  <c r="X19" i="2" l="1"/>
  <c r="W18" i="2"/>
  <c r="Z10" i="2"/>
  <c r="Y17" i="2"/>
  <c r="U31" i="2"/>
  <c r="U33" i="2"/>
  <c r="U30" i="2"/>
  <c r="U32" i="2"/>
  <c r="U34" i="2"/>
  <c r="S37" i="2"/>
  <c r="S39" i="2" s="1"/>
  <c r="S38" i="2"/>
  <c r="S44" i="2" s="1"/>
  <c r="V5" i="2"/>
  <c r="T29" i="2"/>
  <c r="T14" i="2" s="1"/>
  <c r="T38" i="2" s="1"/>
  <c r="T44" i="2" s="1"/>
  <c r="AA10" i="2" l="1"/>
  <c r="Z17" i="2"/>
  <c r="Y19" i="2"/>
  <c r="X18" i="2"/>
  <c r="V31" i="2"/>
  <c r="V33" i="2"/>
  <c r="V30" i="2"/>
  <c r="V32" i="2"/>
  <c r="V34" i="2"/>
  <c r="T37" i="2"/>
  <c r="T39" i="2" s="1"/>
  <c r="W5" i="2"/>
  <c r="U29" i="2"/>
  <c r="U14" i="2" s="1"/>
  <c r="U38" i="2" s="1"/>
  <c r="U44" i="2" s="1"/>
  <c r="Z19" i="2" l="1"/>
  <c r="Y18" i="2"/>
  <c r="AB10" i="2"/>
  <c r="AA17" i="2"/>
  <c r="W30" i="2"/>
  <c r="W32" i="2"/>
  <c r="W34" i="2"/>
  <c r="W31" i="2"/>
  <c r="W33" i="2"/>
  <c r="X5" i="2"/>
  <c r="U37" i="2"/>
  <c r="U39" i="2" s="1"/>
  <c r="V29" i="2"/>
  <c r="V14" i="2" s="1"/>
  <c r="V38" i="2" s="1"/>
  <c r="V44" i="2" s="1"/>
  <c r="AC10" i="2" l="1"/>
  <c r="AB17" i="2"/>
  <c r="AA19" i="2"/>
  <c r="Z18" i="2"/>
  <c r="X30" i="2"/>
  <c r="X32" i="2"/>
  <c r="X31" i="2"/>
  <c r="X33" i="2"/>
  <c r="X34" i="2"/>
  <c r="W29" i="2"/>
  <c r="W14" i="2" s="1"/>
  <c r="V37" i="2"/>
  <c r="V39" i="2" s="1"/>
  <c r="Y5" i="2"/>
  <c r="AB19" i="2" l="1"/>
  <c r="AA18" i="2"/>
  <c r="AD10" i="2"/>
  <c r="AC17" i="2"/>
  <c r="Y31" i="2"/>
  <c r="Y33" i="2"/>
  <c r="Y30" i="2"/>
  <c r="Y32" i="2"/>
  <c r="Y34" i="2"/>
  <c r="W37" i="2"/>
  <c r="W39" i="2" s="1"/>
  <c r="W38" i="2"/>
  <c r="W44" i="2" s="1"/>
  <c r="Z5" i="2"/>
  <c r="X29" i="2"/>
  <c r="X14" i="2" s="1"/>
  <c r="X38" i="2" s="1"/>
  <c r="X44" i="2" s="1"/>
  <c r="AE10" i="2" l="1"/>
  <c r="AD17" i="2"/>
  <c r="AC19" i="2"/>
  <c r="AB18" i="2"/>
  <c r="Z31" i="2"/>
  <c r="Z33" i="2"/>
  <c r="Z30" i="2"/>
  <c r="Z32" i="2"/>
  <c r="Z34" i="2"/>
  <c r="X37" i="2"/>
  <c r="X39" i="2" s="1"/>
  <c r="AA5" i="2"/>
  <c r="Y29" i="2"/>
  <c r="Y14" i="2" s="1"/>
  <c r="Y38" i="2" s="1"/>
  <c r="Y44" i="2" s="1"/>
  <c r="AD19" i="2" l="1"/>
  <c r="AC18" i="2"/>
  <c r="AF10" i="2"/>
  <c r="AE17" i="2"/>
  <c r="AA30" i="2"/>
  <c r="AA32" i="2"/>
  <c r="AA34" i="2"/>
  <c r="AA31" i="2"/>
  <c r="AA33" i="2"/>
  <c r="Y37" i="2"/>
  <c r="Y39" i="2" s="1"/>
  <c r="AB5" i="2"/>
  <c r="Z29" i="2"/>
  <c r="Z14" i="2" s="1"/>
  <c r="Z38" i="2" s="1"/>
  <c r="Z44" i="2" s="1"/>
  <c r="AG10" i="2" l="1"/>
  <c r="AF17" i="2"/>
  <c r="AE19" i="2"/>
  <c r="AD18" i="2"/>
  <c r="AB30" i="2"/>
  <c r="AB32" i="2"/>
  <c r="AB34" i="2"/>
  <c r="AB31" i="2"/>
  <c r="AB33" i="2"/>
  <c r="AC5" i="2"/>
  <c r="Z37" i="2"/>
  <c r="Z39" i="2" s="1"/>
  <c r="AA29" i="2"/>
  <c r="AA14" i="2" s="1"/>
  <c r="AA38" i="2" s="1"/>
  <c r="AA44" i="2" s="1"/>
  <c r="AF19" i="2" l="1"/>
  <c r="AE18" i="2"/>
  <c r="AH10" i="2"/>
  <c r="AG17" i="2"/>
  <c r="AC31" i="2"/>
  <c r="AC33" i="2"/>
  <c r="AC30" i="2"/>
  <c r="AC32" i="2"/>
  <c r="AC34" i="2"/>
  <c r="AA37" i="2"/>
  <c r="AA39" i="2" s="1"/>
  <c r="AD5" i="2"/>
  <c r="AB29" i="2"/>
  <c r="AB14" i="2" s="1"/>
  <c r="AB38" i="2" s="1"/>
  <c r="AB44" i="2" s="1"/>
  <c r="AG19" i="2" l="1"/>
  <c r="AF18" i="2"/>
  <c r="AI10" i="2"/>
  <c r="AH17" i="2"/>
  <c r="AD31" i="2"/>
  <c r="AD33" i="2"/>
  <c r="AD30" i="2"/>
  <c r="AD32" i="2"/>
  <c r="AD34" i="2"/>
  <c r="AE5" i="2"/>
  <c r="AC29" i="2"/>
  <c r="AC14" i="2" s="1"/>
  <c r="AC38" i="2" s="1"/>
  <c r="AC44" i="2" s="1"/>
  <c r="AB37" i="2"/>
  <c r="AB39" i="2" s="1"/>
  <c r="AH19" i="2" l="1"/>
  <c r="AG18" i="2"/>
  <c r="AJ10" i="2"/>
  <c r="AI17" i="2"/>
  <c r="AE30" i="2"/>
  <c r="AE32" i="2"/>
  <c r="AE34" i="2"/>
  <c r="AE31" i="2"/>
  <c r="AE33" i="2"/>
  <c r="AF5" i="2"/>
  <c r="AD29" i="2"/>
  <c r="AD14" i="2" s="1"/>
  <c r="AD38" i="2" s="1"/>
  <c r="AD44" i="2" s="1"/>
  <c r="AC37" i="2"/>
  <c r="AC39" i="2" s="1"/>
  <c r="AI19" i="2" l="1"/>
  <c r="AH18" i="2"/>
  <c r="AK10" i="2"/>
  <c r="AJ17" i="2"/>
  <c r="AF30" i="2"/>
  <c r="AF32" i="2"/>
  <c r="AF31" i="2"/>
  <c r="AF33" i="2"/>
  <c r="AF34" i="2"/>
  <c r="AD37" i="2"/>
  <c r="AD39" i="2" s="1"/>
  <c r="AG5" i="2"/>
  <c r="AE29" i="2"/>
  <c r="AE14" i="2" s="1"/>
  <c r="AE38" i="2" s="1"/>
  <c r="AE44" i="2" s="1"/>
  <c r="AL10" i="2" l="1"/>
  <c r="AK17" i="2"/>
  <c r="AJ19" i="2"/>
  <c r="AI18" i="2"/>
  <c r="AG31" i="2"/>
  <c r="AG33" i="2"/>
  <c r="AG30" i="2"/>
  <c r="AG32" i="2"/>
  <c r="AG34" i="2"/>
  <c r="AH5" i="2"/>
  <c r="AE37" i="2"/>
  <c r="AE39" i="2" s="1"/>
  <c r="AF29" i="2"/>
  <c r="AF14" i="2" s="1"/>
  <c r="AF38" i="2" s="1"/>
  <c r="AF44" i="2" s="1"/>
  <c r="AK19" i="2" l="1"/>
  <c r="AJ18" i="2"/>
  <c r="AM10" i="2"/>
  <c r="AL17" i="2"/>
  <c r="AH31" i="2"/>
  <c r="AH30" i="2"/>
  <c r="AH32" i="2"/>
  <c r="AH34" i="2"/>
  <c r="AH33" i="2"/>
  <c r="AI5" i="2"/>
  <c r="AF37" i="2"/>
  <c r="AF39" i="2" s="1"/>
  <c r="AG29" i="2"/>
  <c r="AG14" i="2" s="1"/>
  <c r="AG38" i="2" s="1"/>
  <c r="AG44" i="2" s="1"/>
  <c r="AL19" i="2" l="1"/>
  <c r="AK18" i="2"/>
  <c r="AN10" i="2"/>
  <c r="AM17" i="2"/>
  <c r="AI30" i="2"/>
  <c r="AI32" i="2"/>
  <c r="AI34" i="2"/>
  <c r="AI31" i="2"/>
  <c r="AI33" i="2"/>
  <c r="AJ5" i="2"/>
  <c r="AG37" i="2"/>
  <c r="AG39" i="2" s="1"/>
  <c r="AH29" i="2"/>
  <c r="AH14" i="2" s="1"/>
  <c r="AH38" i="2" s="1"/>
  <c r="AH44" i="2" s="1"/>
  <c r="AO10" i="2" l="1"/>
  <c r="AN17" i="2"/>
  <c r="AM19" i="2"/>
  <c r="AL18" i="2"/>
  <c r="AJ30" i="2"/>
  <c r="AJ32" i="2"/>
  <c r="AJ34" i="2"/>
  <c r="AJ31" i="2"/>
  <c r="AJ33" i="2"/>
  <c r="AI29" i="2"/>
  <c r="AI14" i="2" s="1"/>
  <c r="AK5" i="2"/>
  <c r="AH37" i="2"/>
  <c r="AH39" i="2" s="1"/>
  <c r="AN19" i="2" l="1"/>
  <c r="AM18" i="2"/>
  <c r="AP10" i="2"/>
  <c r="AP17" i="2" s="1"/>
  <c r="AO17" i="2"/>
  <c r="AK31" i="2"/>
  <c r="AK33" i="2"/>
  <c r="AK30" i="2"/>
  <c r="AK32" i="2"/>
  <c r="AK34" i="2"/>
  <c r="AI37" i="2"/>
  <c r="AI39" i="2" s="1"/>
  <c r="AI38" i="2"/>
  <c r="AI44" i="2" s="1"/>
  <c r="AL5" i="2"/>
  <c r="AJ29" i="2"/>
  <c r="AJ14" i="2" s="1"/>
  <c r="AJ38" i="2" s="1"/>
  <c r="AJ44" i="2" s="1"/>
  <c r="AO19" i="2" l="1"/>
  <c r="AN18" i="2"/>
  <c r="AL31" i="2"/>
  <c r="AL33" i="2"/>
  <c r="AL30" i="2"/>
  <c r="AL32" i="2"/>
  <c r="AL34" i="2"/>
  <c r="AK29" i="2"/>
  <c r="AK14" i="2" s="1"/>
  <c r="AJ37" i="2"/>
  <c r="AJ39" i="2" s="1"/>
  <c r="AM5" i="2"/>
  <c r="AP19" i="2" l="1"/>
  <c r="AP18" i="2" s="1"/>
  <c r="AO18" i="2"/>
  <c r="AM30" i="2"/>
  <c r="AM32" i="2"/>
  <c r="AM34" i="2"/>
  <c r="AM31" i="2"/>
  <c r="AM33" i="2"/>
  <c r="AK37" i="2"/>
  <c r="AK39" i="2" s="1"/>
  <c r="AK38" i="2"/>
  <c r="AK44" i="2" s="1"/>
  <c r="AL29" i="2"/>
  <c r="AL14" i="2" s="1"/>
  <c r="AN5" i="2"/>
  <c r="AN30" i="2" l="1"/>
  <c r="AN32" i="2"/>
  <c r="AN31" i="2"/>
  <c r="AN33" i="2"/>
  <c r="AN34" i="2"/>
  <c r="AL37" i="2"/>
  <c r="AL39" i="2" s="1"/>
  <c r="AL38" i="2"/>
  <c r="AL44" i="2" s="1"/>
  <c r="AO5" i="2"/>
  <c r="AM29" i="2"/>
  <c r="AM14" i="2" s="1"/>
  <c r="AM38" i="2" s="1"/>
  <c r="AM44" i="2" s="1"/>
  <c r="AO31" i="2" l="1"/>
  <c r="AO33" i="2"/>
  <c r="AO30" i="2"/>
  <c r="AO32" i="2"/>
  <c r="AO34" i="2"/>
  <c r="AP5" i="2"/>
  <c r="AN29" i="2"/>
  <c r="AN14" i="2" s="1"/>
  <c r="AN38" i="2" s="1"/>
  <c r="AN44" i="2" s="1"/>
  <c r="AM37" i="2"/>
  <c r="AM39" i="2" s="1"/>
  <c r="AP31" i="2" l="1"/>
  <c r="AP30" i="2"/>
  <c r="AP32" i="2"/>
  <c r="AP34" i="2"/>
  <c r="AP33" i="2"/>
  <c r="AO29" i="2"/>
  <c r="AO14" i="2" s="1"/>
  <c r="AN37" i="2"/>
  <c r="AN39" i="2" s="1"/>
  <c r="AO37" i="2" l="1"/>
  <c r="AO39" i="2" s="1"/>
  <c r="AO38" i="2"/>
  <c r="AO44" i="2" s="1"/>
  <c r="AP29" i="2"/>
  <c r="AP14" i="2" s="1"/>
  <c r="AP37" i="2" l="1"/>
  <c r="AP39" i="2" s="1"/>
  <c r="AP38" i="2"/>
  <c r="C21" i="2" l="1"/>
  <c r="AP44" i="2"/>
  <c r="AQ44" i="2"/>
  <c r="C23" i="2"/>
  <c r="C24" i="2" s="1"/>
</calcChain>
</file>

<file path=xl/sharedStrings.xml><?xml version="1.0" encoding="utf-8"?>
<sst xmlns="http://schemas.openxmlformats.org/spreadsheetml/2006/main" count="92" uniqueCount="73">
  <si>
    <t>PIS</t>
  </si>
  <si>
    <t>Cofins</t>
  </si>
  <si>
    <t>IR</t>
  </si>
  <si>
    <t>CS</t>
  </si>
  <si>
    <t>ISS</t>
  </si>
  <si>
    <t>Premissas</t>
  </si>
  <si>
    <t>Fluxo de Caixa Livre</t>
  </si>
  <si>
    <t>PayBack</t>
  </si>
  <si>
    <t>Terracap</t>
  </si>
  <si>
    <t>17 anos</t>
  </si>
  <si>
    <t>14 anos</t>
  </si>
  <si>
    <t>10 anos</t>
  </si>
  <si>
    <t>Table 5: Cash Flow</t>
  </si>
  <si>
    <t>REVENUE</t>
  </si>
  <si>
    <t>Rents</t>
  </si>
  <si>
    <t>Management Fee (10% do cond)</t>
  </si>
  <si>
    <t>Own parking</t>
  </si>
  <si>
    <t>Parking Management Fee</t>
  </si>
  <si>
    <t>Energy Fee</t>
  </si>
  <si>
    <t>Broadband Services</t>
  </si>
  <si>
    <t>EXPENDITURES</t>
  </si>
  <si>
    <t>Staff</t>
  </si>
  <si>
    <t>Management</t>
  </si>
  <si>
    <t>Security and Maintenance Services</t>
  </si>
  <si>
    <t>Security and Maintenance</t>
  </si>
  <si>
    <t>Maintenance - Technology</t>
  </si>
  <si>
    <t xml:space="preserve">Maintenance - Energy </t>
  </si>
  <si>
    <t>Infraestructure</t>
  </si>
  <si>
    <t>Land</t>
  </si>
  <si>
    <t xml:space="preserve">Preparing the Ground </t>
  </si>
  <si>
    <t>Urban and Technological Infraestructure</t>
  </si>
  <si>
    <t xml:space="preserve">Laboratory Building </t>
  </si>
  <si>
    <t>Customs Unit</t>
  </si>
  <si>
    <t xml:space="preserve">SPE's Buildings </t>
  </si>
  <si>
    <t>Techinological Upgrading</t>
  </si>
  <si>
    <t>Buildings Maintenance</t>
  </si>
  <si>
    <t>Tax</t>
  </si>
  <si>
    <t>Free Cash Flow</t>
  </si>
  <si>
    <t>ACCUMULATED CASH</t>
  </si>
  <si>
    <t>Year</t>
  </si>
  <si>
    <t>Net Present Value</t>
  </si>
  <si>
    <t>Intenar Return Rate (real)</t>
  </si>
  <si>
    <t xml:space="preserve">Intenar Return Rate </t>
  </si>
  <si>
    <t>Payment Cycles</t>
  </si>
  <si>
    <t>Cycle 1</t>
  </si>
  <si>
    <t>Cycle 2</t>
  </si>
  <si>
    <t>Cycle 3</t>
  </si>
  <si>
    <t>Cycle 4</t>
  </si>
  <si>
    <t>Shareholder division</t>
  </si>
  <si>
    <t>Partner</t>
  </si>
  <si>
    <t>IPCA  (a.a.)</t>
  </si>
  <si>
    <t>WACC (a.a.)</t>
  </si>
  <si>
    <t>Capital Cost (equity) - Real (a.a.)</t>
  </si>
  <si>
    <t>Debt Capital Cost Real (a.a)</t>
  </si>
  <si>
    <t>Equity</t>
  </si>
  <si>
    <t>Debit</t>
  </si>
  <si>
    <t>SPE Value</t>
  </si>
  <si>
    <t>Land - Terracap</t>
  </si>
  <si>
    <t>Partner Investment</t>
  </si>
  <si>
    <t>Results</t>
  </si>
  <si>
    <t>NPV</t>
  </si>
  <si>
    <t>IRR Real</t>
  </si>
  <si>
    <t xml:space="preserve">IRR </t>
  </si>
  <si>
    <t>IRR</t>
  </si>
  <si>
    <t>Debt (BNDES)</t>
  </si>
  <si>
    <t>WACC Real</t>
  </si>
  <si>
    <t>NPV Leveraged</t>
  </si>
  <si>
    <t>Tabela 2: Profit Division as Shareholder Division</t>
  </si>
  <si>
    <t>Cenário 1 (Profit Division as Shareholder Division)</t>
  </si>
  <si>
    <t xml:space="preserve">Tabela 3: Reduction of 50% on Terracap´s Profit Participation </t>
  </si>
  <si>
    <t xml:space="preserve">Cenário 2 (Reduction of 50% on Terracap´s Profit Participation </t>
  </si>
  <si>
    <t xml:space="preserve">Tabela 4: The Partner has All Profits </t>
  </si>
  <si>
    <t>Cenário 3 (The Partner has All Profits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</si>
</sst>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-;\-* #,##0.00_-;_-* &quot;-&quot;??_-;_-@_-"/>
    <numFmt numFmtId="164" formatCode="_(&quot;R$ &quot;* #,##0.00_);_(&quot;R$ &quot;* \(#,##0.00\);_(&quot;R$ &quot;* &quot;-&quot;??_);_(@_)"/>
    <numFmt numFmtId="165" formatCode="_(* #,##0_);_(* \(#,##0\);_(* &quot;-&quot;??_);_(@_)"/>
    <numFmt numFmtId="166" formatCode="#,##0.00_ ;[Red]\-#,##0.00\ "/>
    <numFmt numFmtId="167" formatCode="_(* #,##0.0000_);_(* \(#,##0.0000\);_(* &quot;-&quot;??_);_(@_)"/>
  </numFmts>
  <fonts count="14" x14ac:knownFonts="1">
    <font>
      <sz val="10"/>
      <name val="Arial"/>
    </font>
    <font>
      <sz val="10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8"/>
      <name val="Arial"/>
      <family val="2"/>
    </font>
    <font>
      <sz val="10"/>
      <color indexed="9"/>
      <name val="Arial Narrow"/>
      <family val="2"/>
    </font>
    <font>
      <u/>
      <sz val="10"/>
      <name val="Arial Narrow"/>
      <family val="2"/>
    </font>
    <font>
      <sz val="10"/>
      <color indexed="42"/>
      <name val="Arial Narrow"/>
      <family val="2"/>
    </font>
    <font>
      <sz val="9"/>
      <name val="Times New Roman"/>
      <family val="1"/>
    </font>
    <font>
      <b/>
      <sz val="9"/>
      <name val="Times New Roman"/>
      <family val="1"/>
    </font>
    <font>
      <u/>
      <sz val="9"/>
      <name val="Times New Roman"/>
      <family val="1"/>
    </font>
    <font>
      <sz val="9"/>
      <color theme="0"/>
      <name val="Times New Roman"/>
      <family val="1"/>
    </font>
    <font>
      <b/>
      <sz val="10"/>
      <name val="Arial"/>
      <family val="2"/>
    </font>
    <font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91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2" xfId="0" applyFont="1" applyBorder="1"/>
    <xf numFmtId="0" fontId="3" fillId="0" borderId="0" xfId="0" applyFont="1" applyBorder="1"/>
    <xf numFmtId="165" fontId="3" fillId="0" borderId="0" xfId="3" applyNumberFormat="1" applyFont="1" applyBorder="1"/>
    <xf numFmtId="0" fontId="6" fillId="0" borderId="0" xfId="0" applyFont="1" applyBorder="1"/>
    <xf numFmtId="165" fontId="6" fillId="0" borderId="0" xfId="3" applyNumberFormat="1" applyFont="1" applyBorder="1"/>
    <xf numFmtId="0" fontId="6" fillId="0" borderId="0" xfId="0" applyFont="1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3" fillId="0" borderId="1" xfId="0" applyFont="1" applyFill="1" applyBorder="1"/>
    <xf numFmtId="0" fontId="3" fillId="0" borderId="2" xfId="0" applyFont="1" applyFill="1" applyBorder="1"/>
    <xf numFmtId="0" fontId="3" fillId="0" borderId="8" xfId="0" applyFont="1" applyFill="1" applyBorder="1"/>
    <xf numFmtId="0" fontId="3" fillId="0" borderId="3" xfId="0" applyFont="1" applyFill="1" applyBorder="1"/>
    <xf numFmtId="0" fontId="2" fillId="0" borderId="0" xfId="0" applyFont="1" applyFill="1" applyBorder="1"/>
    <xf numFmtId="0" fontId="3" fillId="0" borderId="4" xfId="0" applyFont="1" applyFill="1" applyBorder="1"/>
    <xf numFmtId="0" fontId="3" fillId="0" borderId="0" xfId="0" applyFont="1" applyFill="1" applyBorder="1" applyAlignment="1">
      <alignment horizontal="left" indent="1"/>
    </xf>
    <xf numFmtId="0" fontId="3" fillId="0" borderId="0" xfId="0" applyFont="1" applyFill="1" applyBorder="1" applyAlignment="1">
      <alignment horizontal="left" indent="2"/>
    </xf>
    <xf numFmtId="0" fontId="3" fillId="0" borderId="0" xfId="0" applyFont="1" applyFill="1" applyBorder="1"/>
    <xf numFmtId="0" fontId="3" fillId="0" borderId="5" xfId="0" applyFont="1" applyFill="1" applyBorder="1"/>
    <xf numFmtId="0" fontId="3" fillId="0" borderId="7" xfId="0" applyFont="1" applyFill="1" applyBorder="1"/>
    <xf numFmtId="10" fontId="0" fillId="0" borderId="0" xfId="0" applyNumberFormat="1" applyAlignment="1">
      <alignment vertical="center" wrapText="1"/>
    </xf>
    <xf numFmtId="0" fontId="5" fillId="0" borderId="0" xfId="0" applyFont="1"/>
    <xf numFmtId="165" fontId="3" fillId="0" borderId="0" xfId="3" applyNumberFormat="1" applyFont="1" applyFill="1" applyBorder="1" applyAlignment="1">
      <alignment horizontal="center"/>
    </xf>
    <xf numFmtId="165" fontId="3" fillId="0" borderId="6" xfId="3" applyNumberFormat="1" applyFont="1" applyFill="1" applyBorder="1" applyAlignment="1">
      <alignment horizontal="center"/>
    </xf>
    <xf numFmtId="165" fontId="3" fillId="0" borderId="0" xfId="3" applyNumberFormat="1" applyFont="1" applyAlignment="1">
      <alignment horizontal="center"/>
    </xf>
    <xf numFmtId="0" fontId="3" fillId="0" borderId="0" xfId="0" applyFont="1" applyFill="1" applyBorder="1" applyAlignment="1"/>
    <xf numFmtId="165" fontId="3" fillId="2" borderId="0" xfId="3" applyNumberFormat="1" applyFont="1" applyFill="1" applyBorder="1" applyAlignment="1">
      <alignment horizontal="center"/>
    </xf>
    <xf numFmtId="10" fontId="3" fillId="2" borderId="0" xfId="2" applyNumberFormat="1" applyFont="1" applyFill="1" applyBorder="1" applyAlignment="1">
      <alignment horizontal="center"/>
    </xf>
    <xf numFmtId="165" fontId="3" fillId="0" borderId="2" xfId="3" applyNumberFormat="1" applyFont="1" applyFill="1" applyBorder="1" applyAlignment="1">
      <alignment horizontal="center"/>
    </xf>
    <xf numFmtId="165" fontId="7" fillId="2" borderId="0" xfId="3" applyNumberFormat="1" applyFont="1" applyFill="1" applyBorder="1" applyAlignment="1">
      <alignment horizontal="center"/>
    </xf>
    <xf numFmtId="165" fontId="3" fillId="4" borderId="0" xfId="3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165" fontId="5" fillId="0" borderId="0" xfId="3" applyNumberFormat="1" applyFont="1" applyAlignment="1">
      <alignment horizontal="center"/>
    </xf>
    <xf numFmtId="164" fontId="3" fillId="2" borderId="0" xfId="1" applyFont="1" applyFill="1" applyBorder="1" applyAlignment="1">
      <alignment horizontal="center"/>
    </xf>
    <xf numFmtId="167" fontId="3" fillId="0" borderId="0" xfId="3" applyNumberFormat="1" applyFont="1" applyAlignment="1">
      <alignment horizontal="center"/>
    </xf>
    <xf numFmtId="0" fontId="8" fillId="0" borderId="0" xfId="0" applyFont="1"/>
    <xf numFmtId="4" fontId="8" fillId="0" borderId="0" xfId="0" applyNumberFormat="1" applyFont="1" applyAlignment="1">
      <alignment horizontal="center"/>
    </xf>
    <xf numFmtId="4" fontId="8" fillId="0" borderId="2" xfId="0" applyNumberFormat="1" applyFont="1" applyBorder="1" applyAlignment="1">
      <alignment horizontal="center"/>
    </xf>
    <xf numFmtId="0" fontId="9" fillId="3" borderId="0" xfId="0" applyFont="1" applyFill="1" applyBorder="1"/>
    <xf numFmtId="3" fontId="9" fillId="3" borderId="0" xfId="0" applyNumberFormat="1" applyFont="1" applyFill="1" applyBorder="1" applyAlignment="1">
      <alignment horizontal="center"/>
    </xf>
    <xf numFmtId="0" fontId="8" fillId="0" borderId="0" xfId="0" applyFont="1" applyBorder="1"/>
    <xf numFmtId="4" fontId="8" fillId="0" borderId="0" xfId="0" applyNumberFormat="1" applyFont="1" applyBorder="1" applyAlignment="1">
      <alignment horizontal="center"/>
    </xf>
    <xf numFmtId="4" fontId="8" fillId="0" borderId="0" xfId="3" applyNumberFormat="1" applyFont="1" applyBorder="1" applyAlignment="1">
      <alignment horizontal="center"/>
    </xf>
    <xf numFmtId="0" fontId="9" fillId="2" borderId="0" xfId="0" applyFont="1" applyFill="1" applyBorder="1"/>
    <xf numFmtId="4" fontId="9" fillId="0" borderId="0" xfId="3" applyNumberFormat="1" applyFont="1" applyBorder="1" applyAlignment="1">
      <alignment horizontal="center"/>
    </xf>
    <xf numFmtId="0" fontId="8" fillId="2" borderId="0" xfId="0" applyFont="1" applyFill="1" applyBorder="1"/>
    <xf numFmtId="4" fontId="8" fillId="0" borderId="0" xfId="3" applyNumberFormat="1" applyFont="1" applyFill="1" applyBorder="1" applyAlignment="1">
      <alignment horizontal="center"/>
    </xf>
    <xf numFmtId="0" fontId="10" fillId="2" borderId="0" xfId="0" applyFont="1" applyFill="1" applyBorder="1"/>
    <xf numFmtId="4" fontId="10" fillId="0" borderId="0" xfId="3" applyNumberFormat="1" applyFont="1" applyBorder="1" applyAlignment="1">
      <alignment horizontal="center"/>
    </xf>
    <xf numFmtId="0" fontId="8" fillId="2" borderId="0" xfId="0" applyFont="1" applyFill="1" applyBorder="1" applyAlignment="1">
      <alignment horizontal="left" indent="1"/>
    </xf>
    <xf numFmtId="0" fontId="10" fillId="2" borderId="0" xfId="0" applyFont="1" applyFill="1" applyBorder="1" applyAlignment="1">
      <alignment horizontal="left"/>
    </xf>
    <xf numFmtId="0" fontId="8" fillId="2" borderId="0" xfId="0" applyFont="1" applyFill="1" applyBorder="1" applyAlignment="1">
      <alignment horizontal="left" wrapText="1"/>
    </xf>
    <xf numFmtId="10" fontId="11" fillId="0" borderId="0" xfId="0" applyNumberFormat="1" applyFont="1" applyBorder="1" applyAlignment="1">
      <alignment horizontal="center"/>
    </xf>
    <xf numFmtId="10" fontId="11" fillId="0" borderId="0" xfId="0" applyNumberFormat="1" applyFont="1" applyFill="1" applyBorder="1" applyAlignment="1">
      <alignment horizontal="center"/>
    </xf>
    <xf numFmtId="10" fontId="8" fillId="0" borderId="0" xfId="0" applyNumberFormat="1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166" fontId="9" fillId="0" borderId="0" xfId="0" applyNumberFormat="1" applyFont="1" applyBorder="1" applyAlignment="1">
      <alignment horizontal="center"/>
    </xf>
    <xf numFmtId="4" fontId="9" fillId="0" borderId="0" xfId="0" applyNumberFormat="1" applyFont="1" applyBorder="1" applyAlignment="1">
      <alignment horizontal="center"/>
    </xf>
    <xf numFmtId="0" fontId="8" fillId="0" borderId="6" xfId="0" applyFont="1" applyBorder="1"/>
    <xf numFmtId="0" fontId="8" fillId="0" borderId="6" xfId="0" applyFont="1" applyBorder="1" applyAlignment="1">
      <alignment horizontal="center"/>
    </xf>
    <xf numFmtId="4" fontId="8" fillId="0" borderId="6" xfId="0" applyNumberFormat="1" applyFont="1" applyBorder="1" applyAlignment="1">
      <alignment horizontal="center"/>
    </xf>
    <xf numFmtId="0" fontId="8" fillId="0" borderId="0" xfId="0" applyFont="1" applyAlignment="1">
      <alignment horizontal="center"/>
    </xf>
    <xf numFmtId="165" fontId="8" fillId="0" borderId="0" xfId="3" applyNumberFormat="1" applyFont="1" applyBorder="1"/>
    <xf numFmtId="165" fontId="10" fillId="0" borderId="0" xfId="3" applyNumberFormat="1" applyFont="1" applyBorder="1"/>
    <xf numFmtId="0" fontId="10" fillId="0" borderId="0" xfId="0" applyFont="1"/>
    <xf numFmtId="39" fontId="3" fillId="0" borderId="0" xfId="3" applyNumberFormat="1" applyFont="1" applyBorder="1"/>
    <xf numFmtId="10" fontId="3" fillId="0" borderId="0" xfId="2" applyNumberFormat="1" applyFont="1" applyFill="1" applyBorder="1" applyAlignment="1">
      <alignment horizontal="center"/>
    </xf>
    <xf numFmtId="0" fontId="3" fillId="0" borderId="15" xfId="0" applyFont="1" applyFill="1" applyBorder="1" applyAlignment="1">
      <alignment horizontal="left" indent="2"/>
    </xf>
    <xf numFmtId="10" fontId="3" fillId="0" borderId="15" xfId="2" applyNumberFormat="1" applyFont="1" applyFill="1" applyBorder="1" applyAlignment="1">
      <alignment horizontal="center"/>
    </xf>
    <xf numFmtId="10" fontId="3" fillId="0" borderId="0" xfId="2" applyNumberFormat="1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Fill="1" applyAlignment="1">
      <alignment vertical="center" wrapText="1"/>
    </xf>
    <xf numFmtId="164" fontId="1" fillId="0" borderId="9" xfId="1" applyFont="1" applyBorder="1" applyAlignment="1">
      <alignment horizontal="center" vertical="center" wrapText="1"/>
    </xf>
    <xf numFmtId="10" fontId="1" fillId="0" borderId="0" xfId="0" applyNumberFormat="1" applyFont="1" applyAlignment="1">
      <alignment vertical="center" wrapText="1"/>
    </xf>
    <xf numFmtId="0" fontId="1" fillId="0" borderId="9" xfId="2" applyNumberFormat="1" applyFont="1" applyBorder="1" applyAlignment="1">
      <alignment horizontal="center" vertical="center" wrapText="1"/>
    </xf>
    <xf numFmtId="10" fontId="1" fillId="0" borderId="9" xfId="2" applyNumberFormat="1" applyFont="1" applyBorder="1" applyAlignment="1">
      <alignment horizontal="center" vertical="center" wrapText="1"/>
    </xf>
    <xf numFmtId="10" fontId="1" fillId="0" borderId="9" xfId="0" applyNumberFormat="1" applyFont="1" applyBorder="1" applyAlignment="1">
      <alignment horizontal="center" vertical="center" wrapText="1"/>
    </xf>
    <xf numFmtId="9" fontId="1" fillId="0" borderId="9" xfId="0" applyNumberFormat="1" applyFont="1" applyBorder="1" applyAlignment="1">
      <alignment horizontal="center" vertical="center" wrapText="1"/>
    </xf>
    <xf numFmtId="164" fontId="1" fillId="0" borderId="9" xfId="1" applyFont="1" applyBorder="1" applyAlignment="1">
      <alignment vertical="center" wrapText="1"/>
    </xf>
    <xf numFmtId="0" fontId="13" fillId="0" borderId="2" xfId="0" applyFont="1" applyBorder="1"/>
    <xf numFmtId="0" fontId="1" fillId="0" borderId="9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left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12" fillId="0" borderId="14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</cellXfs>
  <cellStyles count="4">
    <cellStyle name="Moeda" xfId="1" builtinId="4"/>
    <cellStyle name="Normal" xfId="0" builtinId="0"/>
    <cellStyle name="Porcentagem" xfId="2" builtinId="5"/>
    <cellStyle name="Vírgula" xfId="3" builtinId="3"/>
  </cellStyles>
  <dxfs count="1">
    <dxf>
      <font>
        <b/>
        <i val="0"/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93"/>
  <sheetViews>
    <sheetView showGridLines="0" tabSelected="1" view="pageBreakPreview" zoomScaleNormal="80" zoomScaleSheetLayoutView="100" workbookViewId="0">
      <selection activeCell="F11" sqref="F11"/>
    </sheetView>
  </sheetViews>
  <sheetFormatPr defaultRowHeight="12.75" outlineLevelCol="1" x14ac:dyDescent="0.2"/>
  <cols>
    <col min="1" max="1" width="3.7109375" style="2" customWidth="1"/>
    <col min="2" max="2" width="31.140625" style="2" bestFit="1" customWidth="1"/>
    <col min="3" max="3" width="18" style="26" bestFit="1" customWidth="1"/>
    <col min="4" max="4" width="3.7109375" style="2" customWidth="1"/>
    <col min="5" max="5" width="5" style="2" customWidth="1"/>
    <col min="6" max="6" width="36" style="37" bestFit="1" customWidth="1"/>
    <col min="7" max="7" width="21" style="63" bestFit="1" customWidth="1" outlineLevel="1"/>
    <col min="8" max="8" width="20.5703125" style="38" bestFit="1" customWidth="1"/>
    <col min="9" max="9" width="20.140625" style="38" bestFit="1" customWidth="1"/>
    <col min="10" max="11" width="20.5703125" style="38" bestFit="1" customWidth="1"/>
    <col min="12" max="12" width="19.85546875" style="38" bestFit="1" customWidth="1"/>
    <col min="13" max="13" width="20.5703125" style="38" bestFit="1" customWidth="1"/>
    <col min="14" max="14" width="20.140625" style="38" bestFit="1" customWidth="1"/>
    <col min="15" max="15" width="20.5703125" style="38" bestFit="1" customWidth="1"/>
    <col min="16" max="16" width="18.5703125" style="38" bestFit="1" customWidth="1"/>
    <col min="17" max="18" width="18.85546875" style="38" bestFit="1" customWidth="1"/>
    <col min="19" max="20" width="18" style="38" bestFit="1" customWidth="1"/>
    <col min="21" max="21" width="18.42578125" style="38" bestFit="1" customWidth="1"/>
    <col min="22" max="22" width="17.7109375" style="38" bestFit="1" customWidth="1"/>
    <col min="23" max="23" width="17.85546875" style="38" bestFit="1" customWidth="1"/>
    <col min="24" max="24" width="17.7109375" style="38" bestFit="1" customWidth="1"/>
    <col min="25" max="26" width="17.42578125" style="38" bestFit="1" customWidth="1"/>
    <col min="27" max="28" width="17.7109375" style="38" bestFit="1" customWidth="1"/>
    <col min="29" max="29" width="18.140625" style="38" bestFit="1" customWidth="1"/>
    <col min="30" max="30" width="19.42578125" style="38" bestFit="1" customWidth="1"/>
    <col min="31" max="33" width="19.140625" style="38" bestFit="1" customWidth="1"/>
    <col min="34" max="37" width="19.42578125" style="38" bestFit="1" customWidth="1"/>
    <col min="38" max="38" width="19.85546875" style="38" bestFit="1" customWidth="1"/>
    <col min="39" max="39" width="19.42578125" style="38" bestFit="1" customWidth="1"/>
    <col min="40" max="42" width="19.85546875" style="38" bestFit="1" customWidth="1"/>
    <col min="43" max="43" width="17.140625" style="2" customWidth="1"/>
    <col min="44" max="16384" width="9.140625" style="2"/>
  </cols>
  <sheetData>
    <row r="1" spans="1:43" ht="13.5" thickBot="1" x14ac:dyDescent="0.25">
      <c r="B1" s="1"/>
      <c r="G1" s="38"/>
    </row>
    <row r="2" spans="1:43" x14ac:dyDescent="0.2">
      <c r="A2" s="11"/>
      <c r="B2" s="12"/>
      <c r="C2" s="30"/>
      <c r="D2" s="13"/>
      <c r="E2" s="3"/>
      <c r="F2" s="82" t="s">
        <v>12</v>
      </c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39"/>
      <c r="AM2" s="39"/>
      <c r="AN2" s="39"/>
      <c r="AO2" s="39"/>
      <c r="AP2" s="39"/>
      <c r="AQ2" s="3"/>
    </row>
    <row r="3" spans="1:43" x14ac:dyDescent="0.2">
      <c r="A3" s="14"/>
      <c r="B3" s="15" t="s">
        <v>5</v>
      </c>
      <c r="C3" s="24"/>
      <c r="D3" s="16"/>
      <c r="E3" s="4"/>
      <c r="F3" s="40" t="s">
        <v>39</v>
      </c>
      <c r="G3" s="41">
        <v>0</v>
      </c>
      <c r="H3" s="41">
        <v>1</v>
      </c>
      <c r="I3" s="41">
        <v>2</v>
      </c>
      <c r="J3" s="41">
        <v>3</v>
      </c>
      <c r="K3" s="41">
        <v>4</v>
      </c>
      <c r="L3" s="41">
        <v>5</v>
      </c>
      <c r="M3" s="41">
        <v>6</v>
      </c>
      <c r="N3" s="41">
        <v>7</v>
      </c>
      <c r="O3" s="41">
        <v>8</v>
      </c>
      <c r="P3" s="41">
        <v>9</v>
      </c>
      <c r="Q3" s="41">
        <v>10</v>
      </c>
      <c r="R3" s="41">
        <v>11</v>
      </c>
      <c r="S3" s="41">
        <v>12</v>
      </c>
      <c r="T3" s="41">
        <v>13</v>
      </c>
      <c r="U3" s="41">
        <v>14</v>
      </c>
      <c r="V3" s="41">
        <v>15</v>
      </c>
      <c r="W3" s="41">
        <v>16</v>
      </c>
      <c r="X3" s="41">
        <v>17</v>
      </c>
      <c r="Y3" s="41">
        <v>18</v>
      </c>
      <c r="Z3" s="41">
        <v>19</v>
      </c>
      <c r="AA3" s="41">
        <v>20</v>
      </c>
      <c r="AB3" s="41">
        <v>21</v>
      </c>
      <c r="AC3" s="41">
        <v>22</v>
      </c>
      <c r="AD3" s="41">
        <v>23</v>
      </c>
      <c r="AE3" s="41">
        <v>24</v>
      </c>
      <c r="AF3" s="41">
        <v>25</v>
      </c>
      <c r="AG3" s="41">
        <v>26</v>
      </c>
      <c r="AH3" s="41">
        <v>27</v>
      </c>
      <c r="AI3" s="41">
        <v>28</v>
      </c>
      <c r="AJ3" s="41">
        <v>29</v>
      </c>
      <c r="AK3" s="41">
        <v>30</v>
      </c>
      <c r="AL3" s="41">
        <v>31</v>
      </c>
      <c r="AM3" s="41">
        <v>32</v>
      </c>
      <c r="AN3" s="41">
        <v>33</v>
      </c>
      <c r="AO3" s="41">
        <v>34</v>
      </c>
      <c r="AP3" s="41">
        <v>35</v>
      </c>
      <c r="AQ3" s="4"/>
    </row>
    <row r="4" spans="1:43" x14ac:dyDescent="0.2">
      <c r="A4" s="14"/>
      <c r="B4" s="17" t="s">
        <v>56</v>
      </c>
      <c r="C4" s="35">
        <f>C6+C5</f>
        <v>2472271101.225955</v>
      </c>
      <c r="D4" s="16"/>
      <c r="E4" s="4"/>
      <c r="F4" s="42"/>
      <c r="G4" s="43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4"/>
      <c r="AB4" s="44"/>
      <c r="AC4" s="44"/>
      <c r="AD4" s="44"/>
      <c r="AE4" s="44"/>
      <c r="AF4" s="44"/>
      <c r="AG4" s="44"/>
      <c r="AH4" s="44"/>
      <c r="AI4" s="44"/>
      <c r="AJ4" s="44"/>
      <c r="AK4" s="44"/>
      <c r="AL4" s="44"/>
      <c r="AM4" s="44"/>
      <c r="AN4" s="44"/>
      <c r="AO4" s="44"/>
      <c r="AP4" s="44"/>
      <c r="AQ4" s="5"/>
    </row>
    <row r="5" spans="1:43" x14ac:dyDescent="0.2">
      <c r="A5" s="14"/>
      <c r="B5" s="17" t="s">
        <v>57</v>
      </c>
      <c r="C5" s="35">
        <v>1164391892.8</v>
      </c>
      <c r="D5" s="16"/>
      <c r="E5" s="4"/>
      <c r="F5" s="45" t="s">
        <v>13</v>
      </c>
      <c r="G5" s="46">
        <f>SUM(G6:G13)</f>
        <v>0</v>
      </c>
      <c r="H5" s="46">
        <f>SUM(H6:H13)</f>
        <v>76321181.561368227</v>
      </c>
      <c r="I5" s="46">
        <f>SUM(I6:I13)</f>
        <v>206585330.87191355</v>
      </c>
      <c r="J5" s="46">
        <f>SUM(J6:J13)</f>
        <v>296935800.69902349</v>
      </c>
      <c r="K5" s="46">
        <f t="shared" ref="K5:AP5" si="0">SUM(K6:K13)</f>
        <v>395109361.87982601</v>
      </c>
      <c r="L5" s="46">
        <f t="shared" si="0"/>
        <v>399784574.41332251</v>
      </c>
      <c r="M5" s="46">
        <f t="shared" si="0"/>
        <v>404519232.50480491</v>
      </c>
      <c r="N5" s="46">
        <f t="shared" si="0"/>
        <v>409314123.92071569</v>
      </c>
      <c r="O5" s="46">
        <f t="shared" si="0"/>
        <v>414170047.21937174</v>
      </c>
      <c r="P5" s="46">
        <f t="shared" si="0"/>
        <v>419087811.90266865</v>
      </c>
      <c r="Q5" s="46">
        <f t="shared" si="0"/>
        <v>424068238.56995982</v>
      </c>
      <c r="R5" s="46">
        <f t="shared" si="0"/>
        <v>429112159.07414073</v>
      </c>
      <c r="S5" s="46">
        <f t="shared" si="0"/>
        <v>434220416.67997187</v>
      </c>
      <c r="T5" s="46">
        <f t="shared" si="0"/>
        <v>439393866.22467124</v>
      </c>
      <c r="U5" s="46">
        <f t="shared" si="0"/>
        <v>444633374.28081095</v>
      </c>
      <c r="V5" s="46">
        <f t="shared" si="0"/>
        <v>449939819.32155019</v>
      </c>
      <c r="W5" s="46">
        <f t="shared" si="0"/>
        <v>455314091.88823932</v>
      </c>
      <c r="X5" s="46">
        <f t="shared" si="0"/>
        <v>460757094.7604298</v>
      </c>
      <c r="Y5" s="46">
        <f t="shared" si="0"/>
        <v>466269743.12832344</v>
      </c>
      <c r="Z5" s="46">
        <f t="shared" si="0"/>
        <v>471852964.76769888</v>
      </c>
      <c r="AA5" s="46">
        <f t="shared" si="0"/>
        <v>477507700.21734864</v>
      </c>
      <c r="AB5" s="46">
        <f t="shared" si="0"/>
        <v>483234902.95906574</v>
      </c>
      <c r="AC5" s="46">
        <f t="shared" si="0"/>
        <v>489035539.60021538</v>
      </c>
      <c r="AD5" s="46">
        <f t="shared" si="0"/>
        <v>494910590.0589301</v>
      </c>
      <c r="AE5" s="46">
        <f t="shared" si="0"/>
        <v>500861047.75196588</v>
      </c>
      <c r="AF5" s="46">
        <f t="shared" si="0"/>
        <v>506887919.78525937</v>
      </c>
      <c r="AG5" s="46">
        <f t="shared" si="0"/>
        <v>512992227.14722341</v>
      </c>
      <c r="AH5" s="46">
        <f t="shared" si="0"/>
        <v>519175004.90482318</v>
      </c>
      <c r="AI5" s="46">
        <f t="shared" si="0"/>
        <v>525437302.40247113</v>
      </c>
      <c r="AJ5" s="46">
        <f t="shared" si="0"/>
        <v>531780183.46378422</v>
      </c>
      <c r="AK5" s="46">
        <f t="shared" si="0"/>
        <v>538204726.59624243</v>
      </c>
      <c r="AL5" s="46">
        <f t="shared" si="0"/>
        <v>544712025.19879317</v>
      </c>
      <c r="AM5" s="46">
        <f t="shared" si="0"/>
        <v>551303187.77244413</v>
      </c>
      <c r="AN5" s="46">
        <f t="shared" si="0"/>
        <v>557979338.13388526</v>
      </c>
      <c r="AO5" s="46">
        <f t="shared" si="0"/>
        <v>564741615.63219011</v>
      </c>
      <c r="AP5" s="46">
        <f t="shared" si="0"/>
        <v>571591175.36863399</v>
      </c>
      <c r="AQ5" s="5"/>
    </row>
    <row r="6" spans="1:43" x14ac:dyDescent="0.2">
      <c r="A6" s="14"/>
      <c r="B6" s="17" t="s">
        <v>58</v>
      </c>
      <c r="C6" s="35">
        <f>SUM(C7:C10)</f>
        <v>1307879208.4259551</v>
      </c>
      <c r="D6" s="16"/>
      <c r="E6" s="4"/>
      <c r="F6" s="47" t="s">
        <v>14</v>
      </c>
      <c r="G6" s="43">
        <v>0</v>
      </c>
      <c r="H6" s="44">
        <f>164293965.66*C28*1.00772</f>
        <v>33127501.16514289</v>
      </c>
      <c r="I6" s="44">
        <f>164293965.66*(C28+C29)*1.015*1.00772</f>
        <v>89952611.169050008</v>
      </c>
      <c r="J6" s="44">
        <f>164293965.66*(C28+C29+C30)*1.015^2*1.00772</f>
        <v>129700929.06756571</v>
      </c>
      <c r="K6" s="44">
        <f>164293965.66*1.015^3*1.00772</f>
        <v>173124932.58875436</v>
      </c>
      <c r="L6" s="44">
        <f>K6*1.015</f>
        <v>175721806.57758567</v>
      </c>
      <c r="M6" s="44">
        <f t="shared" ref="M6:AP6" si="1">L6*1.015</f>
        <v>178357633.67624944</v>
      </c>
      <c r="N6" s="44">
        <f t="shared" si="1"/>
        <v>181032998.18139318</v>
      </c>
      <c r="O6" s="44">
        <f t="shared" si="1"/>
        <v>183748493.15411407</v>
      </c>
      <c r="P6" s="44">
        <f t="shared" si="1"/>
        <v>186504720.55142576</v>
      </c>
      <c r="Q6" s="44">
        <f t="shared" si="1"/>
        <v>189302291.35969713</v>
      </c>
      <c r="R6" s="44">
        <f t="shared" si="1"/>
        <v>192141825.73009259</v>
      </c>
      <c r="S6" s="44">
        <f t="shared" si="1"/>
        <v>195023953.11604396</v>
      </c>
      <c r="T6" s="44">
        <f t="shared" si="1"/>
        <v>197949312.41278461</v>
      </c>
      <c r="U6" s="44">
        <f t="shared" si="1"/>
        <v>200918552.09897634</v>
      </c>
      <c r="V6" s="44">
        <f t="shared" si="1"/>
        <v>203932330.38046098</v>
      </c>
      <c r="W6" s="44">
        <f t="shared" si="1"/>
        <v>206991315.33616787</v>
      </c>
      <c r="X6" s="44">
        <f t="shared" si="1"/>
        <v>210096185.06621036</v>
      </c>
      <c r="Y6" s="44">
        <f t="shared" si="1"/>
        <v>213247627.8422035</v>
      </c>
      <c r="Z6" s="44">
        <f t="shared" si="1"/>
        <v>216446342.25983652</v>
      </c>
      <c r="AA6" s="44">
        <f t="shared" si="1"/>
        <v>219693037.39373404</v>
      </c>
      <c r="AB6" s="44">
        <f t="shared" si="1"/>
        <v>222988432.95464003</v>
      </c>
      <c r="AC6" s="44">
        <f t="shared" si="1"/>
        <v>226333259.44895962</v>
      </c>
      <c r="AD6" s="44">
        <f t="shared" si="1"/>
        <v>229728258.34069398</v>
      </c>
      <c r="AE6" s="44">
        <f t="shared" si="1"/>
        <v>233174182.21580437</v>
      </c>
      <c r="AF6" s="44">
        <f t="shared" si="1"/>
        <v>236671794.9490414</v>
      </c>
      <c r="AG6" s="44">
        <f t="shared" si="1"/>
        <v>240221871.87327701</v>
      </c>
      <c r="AH6" s="44">
        <f t="shared" si="1"/>
        <v>243825199.95137614</v>
      </c>
      <c r="AI6" s="44">
        <f t="shared" si="1"/>
        <v>247482577.95064676</v>
      </c>
      <c r="AJ6" s="44">
        <f t="shared" si="1"/>
        <v>251194816.61990643</v>
      </c>
      <c r="AK6" s="44">
        <f t="shared" si="1"/>
        <v>254962738.869205</v>
      </c>
      <c r="AL6" s="44">
        <f t="shared" si="1"/>
        <v>258787179.95224306</v>
      </c>
      <c r="AM6" s="44">
        <f t="shared" si="1"/>
        <v>262668987.65152669</v>
      </c>
      <c r="AN6" s="44">
        <f t="shared" si="1"/>
        <v>266609022.46629956</v>
      </c>
      <c r="AO6" s="44">
        <f t="shared" si="1"/>
        <v>270608157.803294</v>
      </c>
      <c r="AP6" s="44">
        <f t="shared" si="1"/>
        <v>274667280.1703434</v>
      </c>
      <c r="AQ6" s="5"/>
    </row>
    <row r="7" spans="1:43" x14ac:dyDescent="0.2">
      <c r="A7" s="14"/>
      <c r="B7" s="18" t="s">
        <v>44</v>
      </c>
      <c r="C7" s="35">
        <f>SUM(G22:G26)</f>
        <v>261694637.34182093</v>
      </c>
      <c r="D7" s="16"/>
      <c r="E7" s="4"/>
      <c r="F7" s="47" t="s">
        <v>15</v>
      </c>
      <c r="G7" s="43">
        <v>0</v>
      </c>
      <c r="H7" s="44">
        <f>18100*C28*165*1.00772</f>
        <v>602184.51622527617</v>
      </c>
      <c r="I7" s="44">
        <f>18100*(C28+C29)*165*1.01*1.00772</f>
        <v>1627084.1434690584</v>
      </c>
      <c r="J7" s="44">
        <f>18100*(C28+C29+C30)*165*1.01^2*1.00772</f>
        <v>2334504.1838567527</v>
      </c>
      <c r="K7" s="44">
        <f>18100*165*1.01^3*1.00772</f>
        <v>3100748.3296897798</v>
      </c>
      <c r="L7" s="44">
        <f>K7*1.01</f>
        <v>3131755.8129866775</v>
      </c>
      <c r="M7" s="44">
        <f t="shared" ref="M7:AP7" si="2">L7*1.01</f>
        <v>3163073.3711165441</v>
      </c>
      <c r="N7" s="44">
        <f t="shared" si="2"/>
        <v>3194704.1048277095</v>
      </c>
      <c r="O7" s="44">
        <f t="shared" si="2"/>
        <v>3226651.1458759867</v>
      </c>
      <c r="P7" s="44">
        <f t="shared" si="2"/>
        <v>3258917.6573347468</v>
      </c>
      <c r="Q7" s="44">
        <f t="shared" si="2"/>
        <v>3291506.8339080941</v>
      </c>
      <c r="R7" s="44">
        <f t="shared" si="2"/>
        <v>3324421.9022471751</v>
      </c>
      <c r="S7" s="44">
        <f t="shared" si="2"/>
        <v>3357666.121269647</v>
      </c>
      <c r="T7" s="44">
        <f t="shared" si="2"/>
        <v>3391242.7824823437</v>
      </c>
      <c r="U7" s="44">
        <f t="shared" si="2"/>
        <v>3425155.2103071674</v>
      </c>
      <c r="V7" s="44">
        <f t="shared" si="2"/>
        <v>3459406.7624102389</v>
      </c>
      <c r="W7" s="44">
        <f t="shared" si="2"/>
        <v>3494000.8300343412</v>
      </c>
      <c r="X7" s="44">
        <f t="shared" si="2"/>
        <v>3528940.8383346847</v>
      </c>
      <c r="Y7" s="44">
        <f t="shared" si="2"/>
        <v>3564230.2467180318</v>
      </c>
      <c r="Z7" s="44">
        <f t="shared" si="2"/>
        <v>3599872.5491852122</v>
      </c>
      <c r="AA7" s="44">
        <f t="shared" si="2"/>
        <v>3635871.2746770643</v>
      </c>
      <c r="AB7" s="44">
        <f t="shared" si="2"/>
        <v>3672229.9874238349</v>
      </c>
      <c r="AC7" s="44">
        <f t="shared" si="2"/>
        <v>3708952.2872980731</v>
      </c>
      <c r="AD7" s="44">
        <f t="shared" si="2"/>
        <v>3746041.8101710537</v>
      </c>
      <c r="AE7" s="44">
        <f t="shared" si="2"/>
        <v>3783502.2282727645</v>
      </c>
      <c r="AF7" s="44">
        <f t="shared" si="2"/>
        <v>3821337.250555492</v>
      </c>
      <c r="AG7" s="44">
        <f t="shared" si="2"/>
        <v>3859550.6230610469</v>
      </c>
      <c r="AH7" s="44">
        <f t="shared" si="2"/>
        <v>3898146.1292916574</v>
      </c>
      <c r="AI7" s="44">
        <f t="shared" si="2"/>
        <v>3937127.5905845738</v>
      </c>
      <c r="AJ7" s="44">
        <f t="shared" si="2"/>
        <v>3976498.8664904195</v>
      </c>
      <c r="AK7" s="44">
        <f t="shared" si="2"/>
        <v>4016263.8551553236</v>
      </c>
      <c r="AL7" s="44">
        <f t="shared" si="2"/>
        <v>4056426.4937068769</v>
      </c>
      <c r="AM7" s="44">
        <f t="shared" si="2"/>
        <v>4096990.7586439457</v>
      </c>
      <c r="AN7" s="44">
        <f t="shared" si="2"/>
        <v>4137960.6662303852</v>
      </c>
      <c r="AO7" s="44">
        <f t="shared" si="2"/>
        <v>4179340.2728926889</v>
      </c>
      <c r="AP7" s="44">
        <f t="shared" si="2"/>
        <v>4221133.6756216157</v>
      </c>
      <c r="AQ7" s="5"/>
    </row>
    <row r="8" spans="1:43" x14ac:dyDescent="0.2">
      <c r="A8" s="14"/>
      <c r="B8" s="18" t="s">
        <v>45</v>
      </c>
      <c r="C8" s="35">
        <f>SUM(H22:H26)</f>
        <v>438395368.09378058</v>
      </c>
      <c r="D8" s="16"/>
      <c r="E8" s="4"/>
      <c r="F8" s="47" t="s">
        <v>16</v>
      </c>
      <c r="G8" s="43">
        <v>0</v>
      </c>
      <c r="H8" s="44">
        <f>2400*C28*5912*1.00772</f>
        <v>2860966.2360010711</v>
      </c>
      <c r="I8" s="44">
        <f>2400*(C28+C29)*5912*1.01*1.00772</f>
        <v>7730243.2596195461</v>
      </c>
      <c r="J8" s="44">
        <f>2400*(C28+C29+C30)*5912*1.01^2*1.00772</f>
        <v>11091181.303836161</v>
      </c>
      <c r="K8" s="44">
        <f>2400*5912*1.01^3*1.00772</f>
        <v>14731591.461678334</v>
      </c>
      <c r="L8" s="44">
        <f>K8*1.01</f>
        <v>14878907.376295118</v>
      </c>
      <c r="M8" s="44">
        <f t="shared" ref="M8:AP8" si="3">L8*1.01</f>
        <v>15027696.450058069</v>
      </c>
      <c r="N8" s="44">
        <f t="shared" si="3"/>
        <v>15177973.414558649</v>
      </c>
      <c r="O8" s="44">
        <f t="shared" si="3"/>
        <v>15329753.148704236</v>
      </c>
      <c r="P8" s="44">
        <f t="shared" si="3"/>
        <v>15483050.680191278</v>
      </c>
      <c r="Q8" s="44">
        <f t="shared" si="3"/>
        <v>15637881.186993191</v>
      </c>
      <c r="R8" s="44">
        <f t="shared" si="3"/>
        <v>15794259.998863123</v>
      </c>
      <c r="S8" s="44">
        <f t="shared" si="3"/>
        <v>15952202.598851755</v>
      </c>
      <c r="T8" s="44">
        <f t="shared" si="3"/>
        <v>16111724.624840273</v>
      </c>
      <c r="U8" s="44">
        <f t="shared" si="3"/>
        <v>16272841.871088676</v>
      </c>
      <c r="V8" s="44">
        <f t="shared" si="3"/>
        <v>16435570.289799564</v>
      </c>
      <c r="W8" s="44">
        <f t="shared" si="3"/>
        <v>16599925.992697559</v>
      </c>
      <c r="X8" s="44">
        <f t="shared" si="3"/>
        <v>16765925.252624536</v>
      </c>
      <c r="Y8" s="44">
        <f t="shared" si="3"/>
        <v>16933584.50515078</v>
      </c>
      <c r="Z8" s="44">
        <f t="shared" si="3"/>
        <v>17102920.350202288</v>
      </c>
      <c r="AA8" s="44">
        <f t="shared" si="3"/>
        <v>17273949.55370431</v>
      </c>
      <c r="AB8" s="44">
        <f t="shared" si="3"/>
        <v>17446689.049241353</v>
      </c>
      <c r="AC8" s="44">
        <f t="shared" si="3"/>
        <v>17621155.939733766</v>
      </c>
      <c r="AD8" s="44">
        <f t="shared" si="3"/>
        <v>17797367.499131102</v>
      </c>
      <c r="AE8" s="44">
        <f t="shared" si="3"/>
        <v>17975341.174122412</v>
      </c>
      <c r="AF8" s="44">
        <f t="shared" si="3"/>
        <v>18155094.585863635</v>
      </c>
      <c r="AG8" s="44">
        <f t="shared" si="3"/>
        <v>18336645.53172227</v>
      </c>
      <c r="AH8" s="44">
        <f t="shared" si="3"/>
        <v>18520011.987039492</v>
      </c>
      <c r="AI8" s="44">
        <f t="shared" si="3"/>
        <v>18705212.106909886</v>
      </c>
      <c r="AJ8" s="44">
        <f t="shared" si="3"/>
        <v>18892264.227978986</v>
      </c>
      <c r="AK8" s="44">
        <f t="shared" si="3"/>
        <v>19081186.870258775</v>
      </c>
      <c r="AL8" s="44">
        <f t="shared" si="3"/>
        <v>19271998.738961361</v>
      </c>
      <c r="AM8" s="44">
        <f t="shared" si="3"/>
        <v>19464718.726350974</v>
      </c>
      <c r="AN8" s="44">
        <f t="shared" si="3"/>
        <v>19659365.913614485</v>
      </c>
      <c r="AO8" s="44">
        <f t="shared" si="3"/>
        <v>19855959.572750632</v>
      </c>
      <c r="AP8" s="44">
        <f t="shared" si="3"/>
        <v>20054519.168478139</v>
      </c>
      <c r="AQ8" s="5"/>
    </row>
    <row r="9" spans="1:43" x14ac:dyDescent="0.2">
      <c r="A9" s="14"/>
      <c r="B9" s="18" t="s">
        <v>46</v>
      </c>
      <c r="C9" s="35">
        <f>SUM(I22:I26)</f>
        <v>294438299.02652478</v>
      </c>
      <c r="D9" s="16"/>
      <c r="E9" s="4"/>
      <c r="F9" s="47" t="s">
        <v>17</v>
      </c>
      <c r="G9" s="43">
        <v>0</v>
      </c>
      <c r="H9" s="44">
        <f>15597*240*C28*1.00772</f>
        <v>754778.25410874002</v>
      </c>
      <c r="I9" s="44">
        <f>15597*240*(C28+C29)*1.01*1.00772</f>
        <v>2039387.7557558536</v>
      </c>
      <c r="J9" s="44">
        <f>15597*240*(C28+C29+C30)*1.01^2*1.00772</f>
        <v>2926068.2475631358</v>
      </c>
      <c r="K9" s="44">
        <f>15597*240*1.01^3*1.00772</f>
        <v>3886478.8908626009</v>
      </c>
      <c r="L9" s="44">
        <f>K9*1.01</f>
        <v>3925343.6797712268</v>
      </c>
      <c r="M9" s="44">
        <f t="shared" ref="M9:AP9" si="4">L9*1.01</f>
        <v>3964597.1165689393</v>
      </c>
      <c r="N9" s="44">
        <f t="shared" si="4"/>
        <v>4004243.0877346289</v>
      </c>
      <c r="O9" s="44">
        <f t="shared" si="4"/>
        <v>4044285.5186119755</v>
      </c>
      <c r="P9" s="44">
        <f t="shared" si="4"/>
        <v>4084728.3737980952</v>
      </c>
      <c r="Q9" s="44">
        <f t="shared" si="4"/>
        <v>4125575.6575360759</v>
      </c>
      <c r="R9" s="44">
        <f t="shared" si="4"/>
        <v>4166831.4141114368</v>
      </c>
      <c r="S9" s="44">
        <f t="shared" si="4"/>
        <v>4208499.7282525515</v>
      </c>
      <c r="T9" s="44">
        <f t="shared" si="4"/>
        <v>4250584.725535077</v>
      </c>
      <c r="U9" s="44">
        <f t="shared" si="4"/>
        <v>4293090.5727904281</v>
      </c>
      <c r="V9" s="44">
        <f t="shared" si="4"/>
        <v>4336021.4785183324</v>
      </c>
      <c r="W9" s="44">
        <f t="shared" si="4"/>
        <v>4379381.6933035161</v>
      </c>
      <c r="X9" s="44">
        <f t="shared" si="4"/>
        <v>4423175.5102365511</v>
      </c>
      <c r="Y9" s="44">
        <f t="shared" si="4"/>
        <v>4467407.2653389163</v>
      </c>
      <c r="Z9" s="44">
        <f t="shared" si="4"/>
        <v>4512081.3379923059</v>
      </c>
      <c r="AA9" s="44">
        <f t="shared" si="4"/>
        <v>4557202.1513722287</v>
      </c>
      <c r="AB9" s="44">
        <f t="shared" si="4"/>
        <v>4602774.1728859507</v>
      </c>
      <c r="AC9" s="44">
        <f t="shared" si="4"/>
        <v>4648801.9146148106</v>
      </c>
      <c r="AD9" s="44">
        <f t="shared" si="4"/>
        <v>4695289.9337609587</v>
      </c>
      <c r="AE9" s="44">
        <f t="shared" si="4"/>
        <v>4742242.833098568</v>
      </c>
      <c r="AF9" s="44">
        <f t="shared" si="4"/>
        <v>4789665.2614295539</v>
      </c>
      <c r="AG9" s="44">
        <f t="shared" si="4"/>
        <v>4837561.9140438493</v>
      </c>
      <c r="AH9" s="44">
        <f t="shared" si="4"/>
        <v>4885937.5331842881</v>
      </c>
      <c r="AI9" s="44">
        <f t="shared" si="4"/>
        <v>4934796.9085161313</v>
      </c>
      <c r="AJ9" s="44">
        <f t="shared" si="4"/>
        <v>4984144.8776012929</v>
      </c>
      <c r="AK9" s="44">
        <f t="shared" si="4"/>
        <v>5033986.3263773061</v>
      </c>
      <c r="AL9" s="44">
        <f t="shared" si="4"/>
        <v>5084326.1896410789</v>
      </c>
      <c r="AM9" s="44">
        <f t="shared" si="4"/>
        <v>5135169.4515374899</v>
      </c>
      <c r="AN9" s="44">
        <f t="shared" si="4"/>
        <v>5186521.1460528644</v>
      </c>
      <c r="AO9" s="44">
        <f t="shared" si="4"/>
        <v>5238386.3575133933</v>
      </c>
      <c r="AP9" s="44">
        <f t="shared" si="4"/>
        <v>5290770.2210885277</v>
      </c>
      <c r="AQ9" s="5"/>
    </row>
    <row r="10" spans="1:43" s="8" customFormat="1" x14ac:dyDescent="0.2">
      <c r="A10" s="14"/>
      <c r="B10" s="18" t="s">
        <v>47</v>
      </c>
      <c r="C10" s="35">
        <f>SUM(J22:J26)</f>
        <v>313350903.96382874</v>
      </c>
      <c r="D10" s="16"/>
      <c r="E10" s="6"/>
      <c r="F10" s="47" t="s">
        <v>23</v>
      </c>
      <c r="G10" s="43">
        <v>0</v>
      </c>
      <c r="H10" s="48">
        <f>173653200*C28*1.00772</f>
        <v>35014655.360110879</v>
      </c>
      <c r="I10" s="44">
        <f>173653200*(C28+C29)*1.01*1.00772</f>
        <v>94608527.769181684</v>
      </c>
      <c r="J10" s="44">
        <f>173653200*(C28+C29+C30)*(1.01)^2*1.00772</f>
        <v>135742213.94278035</v>
      </c>
      <c r="K10" s="44">
        <f>173653200*1.01^3*1.00772</f>
        <v>180296289.91973388</v>
      </c>
      <c r="L10" s="44">
        <f>K10*1.01</f>
        <v>182099252.81893122</v>
      </c>
      <c r="M10" s="44">
        <f t="shared" ref="M10:AP10" si="5">L10*1.01</f>
        <v>183920245.34712052</v>
      </c>
      <c r="N10" s="44">
        <f t="shared" si="5"/>
        <v>185759447.80059174</v>
      </c>
      <c r="O10" s="44">
        <f t="shared" si="5"/>
        <v>187617042.27859765</v>
      </c>
      <c r="P10" s="44">
        <f t="shared" si="5"/>
        <v>189493212.70138362</v>
      </c>
      <c r="Q10" s="44">
        <f t="shared" si="5"/>
        <v>191388144.82839745</v>
      </c>
      <c r="R10" s="44">
        <f t="shared" si="5"/>
        <v>193302026.27668142</v>
      </c>
      <c r="S10" s="44">
        <f t="shared" si="5"/>
        <v>195235046.53944823</v>
      </c>
      <c r="T10" s="44">
        <f t="shared" si="5"/>
        <v>197187397.00484273</v>
      </c>
      <c r="U10" s="44">
        <f t="shared" si="5"/>
        <v>199159270.97489116</v>
      </c>
      <c r="V10" s="44">
        <f t="shared" si="5"/>
        <v>201150863.68464008</v>
      </c>
      <c r="W10" s="44">
        <f t="shared" si="5"/>
        <v>203162372.32148647</v>
      </c>
      <c r="X10" s="44">
        <f t="shared" si="5"/>
        <v>205193996.04470134</v>
      </c>
      <c r="Y10" s="44">
        <f t="shared" si="5"/>
        <v>207245936.00514835</v>
      </c>
      <c r="Z10" s="44">
        <f t="shared" si="5"/>
        <v>209318395.36519983</v>
      </c>
      <c r="AA10" s="44">
        <f t="shared" si="5"/>
        <v>211411579.31885183</v>
      </c>
      <c r="AB10" s="44">
        <f t="shared" si="5"/>
        <v>213525695.11204034</v>
      </c>
      <c r="AC10" s="44">
        <f t="shared" si="5"/>
        <v>215660952.06316075</v>
      </c>
      <c r="AD10" s="44">
        <f t="shared" si="5"/>
        <v>217817561.58379236</v>
      </c>
      <c r="AE10" s="44">
        <f t="shared" si="5"/>
        <v>219995737.19963029</v>
      </c>
      <c r="AF10" s="44">
        <f t="shared" si="5"/>
        <v>222195694.5716266</v>
      </c>
      <c r="AG10" s="44">
        <f t="shared" si="5"/>
        <v>224417651.51734287</v>
      </c>
      <c r="AH10" s="44">
        <f t="shared" si="5"/>
        <v>226661828.0325163</v>
      </c>
      <c r="AI10" s="44">
        <f t="shared" si="5"/>
        <v>228928446.31284148</v>
      </c>
      <c r="AJ10" s="44">
        <f t="shared" si="5"/>
        <v>231217730.77596989</v>
      </c>
      <c r="AK10" s="44">
        <f t="shared" si="5"/>
        <v>233529908.08372959</v>
      </c>
      <c r="AL10" s="44">
        <f t="shared" si="5"/>
        <v>235865207.1645669</v>
      </c>
      <c r="AM10" s="44">
        <f t="shared" si="5"/>
        <v>238223859.23621258</v>
      </c>
      <c r="AN10" s="44">
        <f t="shared" si="5"/>
        <v>240606097.82857472</v>
      </c>
      <c r="AO10" s="44">
        <f t="shared" si="5"/>
        <v>243012158.80686048</v>
      </c>
      <c r="AP10" s="44">
        <f t="shared" si="5"/>
        <v>245442280.39492908</v>
      </c>
      <c r="AQ10" s="7"/>
    </row>
    <row r="11" spans="1:43" x14ac:dyDescent="0.2">
      <c r="A11" s="14"/>
      <c r="B11" s="17"/>
      <c r="C11" s="31">
        <v>2</v>
      </c>
      <c r="D11" s="16"/>
      <c r="E11" s="4"/>
      <c r="F11" s="47" t="s">
        <v>18</v>
      </c>
      <c r="G11" s="43">
        <v>0</v>
      </c>
      <c r="H11" s="44">
        <f>689000*12*C28*1.00772</f>
        <v>1667122.5783192981</v>
      </c>
      <c r="I11" s="44">
        <f>689000*12*(C28+C29)*1.00772</f>
        <v>4459915.0627335133</v>
      </c>
      <c r="J11" s="44">
        <f>689000*12*(C28+C29+C30)*1.00772</f>
        <v>6335630.7488287138</v>
      </c>
      <c r="K11" s="44">
        <f>689000*12*1.00772</f>
        <v>8331828.96</v>
      </c>
      <c r="L11" s="44">
        <f>K11</f>
        <v>8331828.96</v>
      </c>
      <c r="M11" s="44">
        <f t="shared" ref="M11:AP11" si="6">L11</f>
        <v>8331828.96</v>
      </c>
      <c r="N11" s="44">
        <f t="shared" si="6"/>
        <v>8331828.96</v>
      </c>
      <c r="O11" s="44">
        <f t="shared" si="6"/>
        <v>8331828.96</v>
      </c>
      <c r="P11" s="44">
        <f t="shared" si="6"/>
        <v>8331828.96</v>
      </c>
      <c r="Q11" s="44">
        <f t="shared" si="6"/>
        <v>8331828.96</v>
      </c>
      <c r="R11" s="44">
        <f t="shared" si="6"/>
        <v>8331828.96</v>
      </c>
      <c r="S11" s="44">
        <f t="shared" si="6"/>
        <v>8331828.96</v>
      </c>
      <c r="T11" s="44">
        <f t="shared" si="6"/>
        <v>8331828.96</v>
      </c>
      <c r="U11" s="44">
        <f t="shared" si="6"/>
        <v>8331828.96</v>
      </c>
      <c r="V11" s="44">
        <f t="shared" si="6"/>
        <v>8331828.96</v>
      </c>
      <c r="W11" s="44">
        <f t="shared" si="6"/>
        <v>8331828.96</v>
      </c>
      <c r="X11" s="44">
        <f t="shared" si="6"/>
        <v>8331828.96</v>
      </c>
      <c r="Y11" s="44">
        <f t="shared" si="6"/>
        <v>8331828.96</v>
      </c>
      <c r="Z11" s="44">
        <f t="shared" si="6"/>
        <v>8331828.96</v>
      </c>
      <c r="AA11" s="44">
        <f t="shared" si="6"/>
        <v>8331828.96</v>
      </c>
      <c r="AB11" s="44">
        <f t="shared" si="6"/>
        <v>8331828.96</v>
      </c>
      <c r="AC11" s="44">
        <f t="shared" si="6"/>
        <v>8331828.96</v>
      </c>
      <c r="AD11" s="44">
        <f t="shared" si="6"/>
        <v>8331828.96</v>
      </c>
      <c r="AE11" s="44">
        <f t="shared" si="6"/>
        <v>8331828.96</v>
      </c>
      <c r="AF11" s="44">
        <f t="shared" si="6"/>
        <v>8331828.96</v>
      </c>
      <c r="AG11" s="44">
        <f t="shared" si="6"/>
        <v>8331828.96</v>
      </c>
      <c r="AH11" s="44">
        <f t="shared" si="6"/>
        <v>8331828.96</v>
      </c>
      <c r="AI11" s="44">
        <f t="shared" si="6"/>
        <v>8331828.96</v>
      </c>
      <c r="AJ11" s="44">
        <f t="shared" si="6"/>
        <v>8331828.96</v>
      </c>
      <c r="AK11" s="44">
        <f t="shared" si="6"/>
        <v>8331828.96</v>
      </c>
      <c r="AL11" s="44">
        <f t="shared" si="6"/>
        <v>8331828.96</v>
      </c>
      <c r="AM11" s="44">
        <f t="shared" si="6"/>
        <v>8331828.96</v>
      </c>
      <c r="AN11" s="44">
        <f t="shared" si="6"/>
        <v>8331828.96</v>
      </c>
      <c r="AO11" s="44">
        <f t="shared" si="6"/>
        <v>8331828.96</v>
      </c>
      <c r="AP11" s="44">
        <f t="shared" si="6"/>
        <v>8331828.96</v>
      </c>
      <c r="AQ11" s="5"/>
    </row>
    <row r="12" spans="1:43" x14ac:dyDescent="0.2">
      <c r="A12" s="14"/>
      <c r="B12" s="17" t="s">
        <v>50</v>
      </c>
      <c r="C12" s="29">
        <v>4.4999999999999998E-2</v>
      </c>
      <c r="D12" s="16"/>
      <c r="E12" s="4"/>
      <c r="F12" s="47" t="s">
        <v>19</v>
      </c>
      <c r="G12" s="43">
        <v>0</v>
      </c>
      <c r="H12" s="44">
        <f>11376831.4*C28*1.00772</f>
        <v>2293973.4514600812</v>
      </c>
      <c r="I12" s="44">
        <f>11376831.4*(C28+C29)*1.005*1.00772</f>
        <v>6167561.7121038707</v>
      </c>
      <c r="J12" s="44">
        <f>11376831.4*(C28+C29+C30)*1.005^2*1.00772</f>
        <v>8805273.2045926303</v>
      </c>
      <c r="K12" s="44">
        <f>11376831.4*1*1.005^3*1.00772</f>
        <v>11637491.729107065</v>
      </c>
      <c r="L12" s="44">
        <f>K12*1.005</f>
        <v>11695679.187752599</v>
      </c>
      <c r="M12" s="44">
        <f t="shared" ref="M12:AP12" si="7">L12*1.005</f>
        <v>11754157.58369136</v>
      </c>
      <c r="N12" s="44">
        <f t="shared" si="7"/>
        <v>11812928.371609816</v>
      </c>
      <c r="O12" s="44">
        <f t="shared" si="7"/>
        <v>11871993.013467865</v>
      </c>
      <c r="P12" s="44">
        <f t="shared" si="7"/>
        <v>11931352.978535203</v>
      </c>
      <c r="Q12" s="44">
        <f t="shared" si="7"/>
        <v>11991009.743427878</v>
      </c>
      <c r="R12" s="44">
        <f t="shared" si="7"/>
        <v>12050964.792145016</v>
      </c>
      <c r="S12" s="44">
        <f t="shared" si="7"/>
        <v>12111219.616105739</v>
      </c>
      <c r="T12" s="44">
        <f t="shared" si="7"/>
        <v>12171775.714186266</v>
      </c>
      <c r="U12" s="44">
        <f t="shared" si="7"/>
        <v>12232634.592757195</v>
      </c>
      <c r="V12" s="44">
        <f t="shared" si="7"/>
        <v>12293797.76572098</v>
      </c>
      <c r="W12" s="44">
        <f t="shared" si="7"/>
        <v>12355266.754549583</v>
      </c>
      <c r="X12" s="44">
        <f t="shared" si="7"/>
        <v>12417043.08832233</v>
      </c>
      <c r="Y12" s="44">
        <f t="shared" si="7"/>
        <v>12479128.303763941</v>
      </c>
      <c r="Z12" s="44">
        <f t="shared" si="7"/>
        <v>12541523.945282759</v>
      </c>
      <c r="AA12" s="44">
        <f t="shared" si="7"/>
        <v>12604231.565009171</v>
      </c>
      <c r="AB12" s="44">
        <f t="shared" si="7"/>
        <v>12667252.722834216</v>
      </c>
      <c r="AC12" s="44">
        <f t="shared" si="7"/>
        <v>12730588.986448387</v>
      </c>
      <c r="AD12" s="44">
        <f t="shared" si="7"/>
        <v>12794241.931380628</v>
      </c>
      <c r="AE12" s="44">
        <f t="shared" si="7"/>
        <v>12858213.141037529</v>
      </c>
      <c r="AF12" s="44">
        <f t="shared" si="7"/>
        <v>12922504.206742715</v>
      </c>
      <c r="AG12" s="44">
        <f t="shared" si="7"/>
        <v>12987116.727776427</v>
      </c>
      <c r="AH12" s="44">
        <f t="shared" si="7"/>
        <v>13052052.311415307</v>
      </c>
      <c r="AI12" s="44">
        <f t="shared" si="7"/>
        <v>13117312.572972381</v>
      </c>
      <c r="AJ12" s="44">
        <f t="shared" si="7"/>
        <v>13182899.135837242</v>
      </c>
      <c r="AK12" s="44">
        <f t="shared" si="7"/>
        <v>13248813.631516427</v>
      </c>
      <c r="AL12" s="44">
        <f t="shared" si="7"/>
        <v>13315057.699674008</v>
      </c>
      <c r="AM12" s="44">
        <f t="shared" si="7"/>
        <v>13381632.988172377</v>
      </c>
      <c r="AN12" s="44">
        <f t="shared" si="7"/>
        <v>13448541.153113237</v>
      </c>
      <c r="AO12" s="44">
        <f t="shared" si="7"/>
        <v>13515783.858878801</v>
      </c>
      <c r="AP12" s="44">
        <f t="shared" si="7"/>
        <v>13583362.778173193</v>
      </c>
      <c r="AQ12" s="5"/>
    </row>
    <row r="13" spans="1:43" x14ac:dyDescent="0.2">
      <c r="A13" s="14"/>
      <c r="B13" s="17" t="s">
        <v>51</v>
      </c>
      <c r="C13" s="29">
        <f>(C14*C16)+(C15*C17)*(1-0.34)</f>
        <v>0.14000000000000001</v>
      </c>
      <c r="D13" s="16"/>
      <c r="E13" s="4"/>
      <c r="F13" s="47"/>
      <c r="G13" s="43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4"/>
      <c r="AK13" s="44"/>
      <c r="AL13" s="44"/>
      <c r="AM13" s="44"/>
      <c r="AN13" s="44"/>
      <c r="AO13" s="44"/>
      <c r="AP13" s="44"/>
      <c r="AQ13" s="5"/>
    </row>
    <row r="14" spans="1:43" x14ac:dyDescent="0.2">
      <c r="A14" s="14"/>
      <c r="B14" s="17" t="s">
        <v>52</v>
      </c>
      <c r="C14" s="29">
        <f>18.5%-C12</f>
        <v>0.14000000000000001</v>
      </c>
      <c r="D14" s="16"/>
      <c r="E14" s="4"/>
      <c r="F14" s="45" t="s">
        <v>20</v>
      </c>
      <c r="G14" s="46">
        <f t="shared" ref="G14:AP14" si="8">SUM(G15:G34)</f>
        <v>495158778.63046497</v>
      </c>
      <c r="H14" s="46">
        <f t="shared" si="8"/>
        <v>867004426.32682049</v>
      </c>
      <c r="I14" s="46">
        <f t="shared" si="8"/>
        <v>669286339.15780711</v>
      </c>
      <c r="J14" s="46">
        <f t="shared" si="8"/>
        <v>749272310.79045939</v>
      </c>
      <c r="K14" s="46">
        <f t="shared" si="8"/>
        <v>242747039.40267062</v>
      </c>
      <c r="L14" s="46">
        <f t="shared" si="8"/>
        <v>250555383.71032065</v>
      </c>
      <c r="M14" s="46">
        <f t="shared" si="8"/>
        <v>248147421.3397058</v>
      </c>
      <c r="N14" s="46">
        <f t="shared" si="8"/>
        <v>250902620.87542906</v>
      </c>
      <c r="O14" s="46">
        <f t="shared" si="8"/>
        <v>253695446.57375637</v>
      </c>
      <c r="P14" s="46">
        <f t="shared" si="8"/>
        <v>256526640.49341327</v>
      </c>
      <c r="Q14" s="46">
        <f t="shared" si="8"/>
        <v>264652667.72720569</v>
      </c>
      <c r="R14" s="46">
        <f t="shared" si="8"/>
        <v>262307213.97405061</v>
      </c>
      <c r="S14" s="46">
        <f t="shared" si="8"/>
        <v>265258193.0516575</v>
      </c>
      <c r="T14" s="46">
        <f t="shared" si="8"/>
        <v>268250741.24439016</v>
      </c>
      <c r="U14" s="46">
        <f t="shared" si="8"/>
        <v>271285721.59519267</v>
      </c>
      <c r="V14" s="46">
        <f t="shared" si="8"/>
        <v>279752437.96705776</v>
      </c>
      <c r="W14" s="46">
        <f t="shared" si="8"/>
        <v>277486567.68178749</v>
      </c>
      <c r="X14" s="46">
        <f t="shared" si="8"/>
        <v>280654299.52457881</v>
      </c>
      <c r="Y14" s="46">
        <f t="shared" si="8"/>
        <v>283868198.03859985</v>
      </c>
      <c r="Z14" s="46">
        <f t="shared" si="8"/>
        <v>287129273.18964106</v>
      </c>
      <c r="AA14" s="46">
        <f t="shared" si="8"/>
        <v>295963045.84229648</v>
      </c>
      <c r="AB14" s="46">
        <f t="shared" si="8"/>
        <v>293797159.66409326</v>
      </c>
      <c r="AC14" s="46">
        <f t="shared" si="8"/>
        <v>297206161.37671149</v>
      </c>
      <c r="AD14" s="46">
        <f t="shared" si="8"/>
        <v>300666723.34920764</v>
      </c>
      <c r="AE14" s="46">
        <f t="shared" si="8"/>
        <v>304180034.54361993</v>
      </c>
      <c r="AF14" s="46">
        <f t="shared" si="8"/>
        <v>313411302.08661038</v>
      </c>
      <c r="AG14" s="46">
        <f t="shared" si="8"/>
        <v>311369863.54360497</v>
      </c>
      <c r="AH14" s="46">
        <f t="shared" si="8"/>
        <v>315048967.39665776</v>
      </c>
      <c r="AI14" s="46">
        <f t="shared" si="8"/>
        <v>318785996.08913928</v>
      </c>
      <c r="AJ14" s="46">
        <f t="shared" si="8"/>
        <v>322582357.28074056</v>
      </c>
      <c r="AK14" s="46">
        <f t="shared" si="8"/>
        <v>332246508.34671509</v>
      </c>
      <c r="AL14" s="46">
        <f t="shared" si="8"/>
        <v>330358956.35172331</v>
      </c>
      <c r="AM14" s="46">
        <f t="shared" si="8"/>
        <v>334342264.33070129</v>
      </c>
      <c r="AN14" s="46">
        <f t="shared" si="8"/>
        <v>338391049.37408382</v>
      </c>
      <c r="AO14" s="46">
        <f t="shared" si="8"/>
        <v>342506987.02826124</v>
      </c>
      <c r="AP14" s="46">
        <f t="shared" si="8"/>
        <v>352645447.76350158</v>
      </c>
      <c r="AQ14" s="5"/>
    </row>
    <row r="15" spans="1:43" x14ac:dyDescent="0.2">
      <c r="A15" s="14"/>
      <c r="B15" s="2" t="s">
        <v>53</v>
      </c>
      <c r="C15" s="29">
        <f>6.5%-C12</f>
        <v>2.0000000000000004E-2</v>
      </c>
      <c r="D15" s="16"/>
      <c r="E15" s="4"/>
      <c r="F15" s="49" t="s">
        <v>21</v>
      </c>
      <c r="G15" s="50"/>
      <c r="H15" s="50"/>
      <c r="I15" s="50"/>
      <c r="J15" s="50"/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50"/>
      <c r="AC15" s="50"/>
      <c r="AD15" s="50"/>
      <c r="AE15" s="50"/>
      <c r="AF15" s="50"/>
      <c r="AG15" s="50"/>
      <c r="AH15" s="50"/>
      <c r="AI15" s="50"/>
      <c r="AJ15" s="50"/>
      <c r="AK15" s="50"/>
      <c r="AL15" s="50"/>
      <c r="AM15" s="50"/>
      <c r="AN15" s="50"/>
      <c r="AO15" s="50"/>
      <c r="AP15" s="50"/>
      <c r="AQ15" s="5"/>
    </row>
    <row r="16" spans="1:43" x14ac:dyDescent="0.2">
      <c r="A16" s="14"/>
      <c r="B16" s="2" t="s">
        <v>54</v>
      </c>
      <c r="C16" s="29">
        <v>1</v>
      </c>
      <c r="D16" s="16"/>
      <c r="E16" s="4"/>
      <c r="F16" s="51" t="s">
        <v>22</v>
      </c>
      <c r="G16" s="44">
        <f>40000*12</f>
        <v>480000</v>
      </c>
      <c r="H16" s="44">
        <f>80000*12</f>
        <v>960000</v>
      </c>
      <c r="I16" s="44">
        <f>H16*1.005*12</f>
        <v>11577599.999999998</v>
      </c>
      <c r="J16" s="44">
        <f>I16*1.005</f>
        <v>11635487.999999996</v>
      </c>
      <c r="K16" s="44">
        <f t="shared" ref="K16:AP16" si="9">J16*1.005</f>
        <v>11693665.439999996</v>
      </c>
      <c r="L16" s="44">
        <f t="shared" si="9"/>
        <v>11752133.767199995</v>
      </c>
      <c r="M16" s="44">
        <f t="shared" si="9"/>
        <v>11810894.436035994</v>
      </c>
      <c r="N16" s="44">
        <f t="shared" si="9"/>
        <v>11869948.908216173</v>
      </c>
      <c r="O16" s="44">
        <f t="shared" si="9"/>
        <v>11929298.652757252</v>
      </c>
      <c r="P16" s="44">
        <f t="shared" si="9"/>
        <v>11988945.146021036</v>
      </c>
      <c r="Q16" s="44">
        <f t="shared" si="9"/>
        <v>12048889.871751141</v>
      </c>
      <c r="R16" s="44">
        <f t="shared" si="9"/>
        <v>12109134.321109895</v>
      </c>
      <c r="S16" s="44">
        <f t="shared" si="9"/>
        <v>12169679.992715443</v>
      </c>
      <c r="T16" s="44">
        <f t="shared" si="9"/>
        <v>12230528.392679019</v>
      </c>
      <c r="U16" s="44">
        <f t="shared" si="9"/>
        <v>12291681.034642413</v>
      </c>
      <c r="V16" s="44">
        <f t="shared" si="9"/>
        <v>12353139.439815624</v>
      </c>
      <c r="W16" s="44">
        <f t="shared" si="9"/>
        <v>12414905.1370147</v>
      </c>
      <c r="X16" s="44">
        <f t="shared" si="9"/>
        <v>12476979.662699772</v>
      </c>
      <c r="Y16" s="44">
        <f t="shared" si="9"/>
        <v>12539364.56101327</v>
      </c>
      <c r="Z16" s="44">
        <f t="shared" si="9"/>
        <v>12602061.383818336</v>
      </c>
      <c r="AA16" s="44">
        <f t="shared" si="9"/>
        <v>12665071.690737426</v>
      </c>
      <c r="AB16" s="44">
        <f t="shared" si="9"/>
        <v>12728397.049191112</v>
      </c>
      <c r="AC16" s="44">
        <f t="shared" si="9"/>
        <v>12792039.034437066</v>
      </c>
      <c r="AD16" s="44">
        <f t="shared" si="9"/>
        <v>12855999.229609249</v>
      </c>
      <c r="AE16" s="44">
        <f t="shared" si="9"/>
        <v>12920279.225757293</v>
      </c>
      <c r="AF16" s="44">
        <f t="shared" si="9"/>
        <v>12984880.621886078</v>
      </c>
      <c r="AG16" s="44">
        <f t="shared" si="9"/>
        <v>13049805.024995508</v>
      </c>
      <c r="AH16" s="44">
        <f t="shared" si="9"/>
        <v>13115054.050120484</v>
      </c>
      <c r="AI16" s="44">
        <f t="shared" si="9"/>
        <v>13180629.320371086</v>
      </c>
      <c r="AJ16" s="44">
        <f t="shared" si="9"/>
        <v>13246532.46697294</v>
      </c>
      <c r="AK16" s="44">
        <f t="shared" si="9"/>
        <v>13312765.129307803</v>
      </c>
      <c r="AL16" s="44">
        <f t="shared" si="9"/>
        <v>13379328.954954341</v>
      </c>
      <c r="AM16" s="44">
        <f t="shared" si="9"/>
        <v>13446225.599729111</v>
      </c>
      <c r="AN16" s="44">
        <f t="shared" si="9"/>
        <v>13513456.727727756</v>
      </c>
      <c r="AO16" s="44">
        <f t="shared" si="9"/>
        <v>13581024.011366393</v>
      </c>
      <c r="AP16" s="44">
        <f t="shared" si="9"/>
        <v>13648929.131423224</v>
      </c>
      <c r="AQ16" s="5"/>
    </row>
    <row r="17" spans="1:43" x14ac:dyDescent="0.2">
      <c r="A17" s="14"/>
      <c r="B17" s="2" t="s">
        <v>55</v>
      </c>
      <c r="C17" s="29">
        <f>1-C16</f>
        <v>0</v>
      </c>
      <c r="D17" s="16"/>
      <c r="E17" s="4"/>
      <c r="F17" s="51" t="s">
        <v>24</v>
      </c>
      <c r="G17" s="44">
        <v>0</v>
      </c>
      <c r="H17" s="38">
        <f>H10*0.65</f>
        <v>22759525.984072071</v>
      </c>
      <c r="I17" s="38">
        <f t="shared" ref="I17:AP17" si="10">I10*0.65</f>
        <v>61495543.049968094</v>
      </c>
      <c r="J17" s="38">
        <f t="shared" si="10"/>
        <v>88232439.062807232</v>
      </c>
      <c r="K17" s="38">
        <f t="shared" si="10"/>
        <v>117192588.44782703</v>
      </c>
      <c r="L17" s="38">
        <f t="shared" si="10"/>
        <v>118364514.3323053</v>
      </c>
      <c r="M17" s="38">
        <f t="shared" si="10"/>
        <v>119548159.47562835</v>
      </c>
      <c r="N17" s="38">
        <f t="shared" si="10"/>
        <v>120743641.07038464</v>
      </c>
      <c r="O17" s="38">
        <f t="shared" si="10"/>
        <v>121951077.48108847</v>
      </c>
      <c r="P17" s="38">
        <f t="shared" si="10"/>
        <v>123170588.25589935</v>
      </c>
      <c r="Q17" s="38">
        <f t="shared" si="10"/>
        <v>124402294.13845834</v>
      </c>
      <c r="R17" s="38">
        <f t="shared" si="10"/>
        <v>125646317.07984293</v>
      </c>
      <c r="S17" s="38">
        <f t="shared" si="10"/>
        <v>126902780.25064136</v>
      </c>
      <c r="T17" s="38">
        <f t="shared" si="10"/>
        <v>128171808.05314778</v>
      </c>
      <c r="U17" s="38">
        <f t="shared" si="10"/>
        <v>129453526.13367926</v>
      </c>
      <c r="V17" s="38">
        <f t="shared" si="10"/>
        <v>130748061.39501606</v>
      </c>
      <c r="W17" s="38">
        <f t="shared" si="10"/>
        <v>132055542.00896621</v>
      </c>
      <c r="X17" s="38">
        <f t="shared" si="10"/>
        <v>133376097.42905587</v>
      </c>
      <c r="Y17" s="38">
        <f t="shared" si="10"/>
        <v>134709858.40334642</v>
      </c>
      <c r="Z17" s="38">
        <f t="shared" si="10"/>
        <v>136056956.98737991</v>
      </c>
      <c r="AA17" s="38">
        <f t="shared" si="10"/>
        <v>137417526.55725369</v>
      </c>
      <c r="AB17" s="38">
        <f t="shared" si="10"/>
        <v>138791701.82282624</v>
      </c>
      <c r="AC17" s="38">
        <f t="shared" si="10"/>
        <v>140179618.8410545</v>
      </c>
      <c r="AD17" s="38">
        <f t="shared" si="10"/>
        <v>141581415.02946505</v>
      </c>
      <c r="AE17" s="38">
        <f t="shared" si="10"/>
        <v>142997229.17975968</v>
      </c>
      <c r="AF17" s="38">
        <f t="shared" si="10"/>
        <v>144427201.47155729</v>
      </c>
      <c r="AG17" s="38">
        <f t="shared" si="10"/>
        <v>145871473.48627287</v>
      </c>
      <c r="AH17" s="38">
        <f t="shared" si="10"/>
        <v>147330188.22113559</v>
      </c>
      <c r="AI17" s="38">
        <f t="shared" si="10"/>
        <v>148803490.10334697</v>
      </c>
      <c r="AJ17" s="38">
        <f t="shared" si="10"/>
        <v>150291525.00438043</v>
      </c>
      <c r="AK17" s="38">
        <f t="shared" si="10"/>
        <v>151794440.25442424</v>
      </c>
      <c r="AL17" s="38">
        <f t="shared" si="10"/>
        <v>153312384.6569685</v>
      </c>
      <c r="AM17" s="38">
        <f t="shared" si="10"/>
        <v>154845508.50353819</v>
      </c>
      <c r="AN17" s="38">
        <f t="shared" si="10"/>
        <v>156393963.58857358</v>
      </c>
      <c r="AO17" s="38">
        <f t="shared" si="10"/>
        <v>157957903.22445932</v>
      </c>
      <c r="AP17" s="38">
        <f t="shared" si="10"/>
        <v>159537482.25670391</v>
      </c>
      <c r="AQ17" s="5"/>
    </row>
    <row r="18" spans="1:43" s="8" customFormat="1" x14ac:dyDescent="0.2">
      <c r="A18" s="14"/>
      <c r="B18" s="19"/>
      <c r="C18" s="32"/>
      <c r="D18" s="16"/>
      <c r="E18" s="6"/>
      <c r="F18" s="51" t="s">
        <v>25</v>
      </c>
      <c r="G18" s="44">
        <v>0</v>
      </c>
      <c r="H18" s="48">
        <f>H19*0.9</f>
        <v>416267.96384962951</v>
      </c>
      <c r="I18" s="48">
        <f>I19*0.9</f>
        <v>1119175.2695221154</v>
      </c>
      <c r="J18" s="48">
        <f t="shared" ref="J18:AP18" si="11">J19*0.9</f>
        <v>1597818.4689463307</v>
      </c>
      <c r="K18" s="48">
        <f t="shared" si="11"/>
        <v>2111757.2146743746</v>
      </c>
      <c r="L18" s="48">
        <f t="shared" si="11"/>
        <v>2122316.0007477459</v>
      </c>
      <c r="M18" s="48">
        <f t="shared" si="11"/>
        <v>2132927.5807514847</v>
      </c>
      <c r="N18" s="48">
        <f t="shared" si="11"/>
        <v>2143592.2186552417</v>
      </c>
      <c r="O18" s="48">
        <f t="shared" si="11"/>
        <v>2154310.1797485179</v>
      </c>
      <c r="P18" s="48">
        <f t="shared" si="11"/>
        <v>2165081.7306472603</v>
      </c>
      <c r="Q18" s="48">
        <f t="shared" si="11"/>
        <v>2175907.1393004963</v>
      </c>
      <c r="R18" s="48">
        <f t="shared" si="11"/>
        <v>2186786.6749969986</v>
      </c>
      <c r="S18" s="48">
        <f t="shared" si="11"/>
        <v>2197720.6083719833</v>
      </c>
      <c r="T18" s="48">
        <f t="shared" si="11"/>
        <v>2208709.2114138431</v>
      </c>
      <c r="U18" s="48">
        <f t="shared" si="11"/>
        <v>2219752.7574709118</v>
      </c>
      <c r="V18" s="48">
        <f t="shared" si="11"/>
        <v>2230851.5212582662</v>
      </c>
      <c r="W18" s="48">
        <f t="shared" si="11"/>
        <v>2242005.7788645574</v>
      </c>
      <c r="X18" s="48">
        <f t="shared" si="11"/>
        <v>2253215.8077588798</v>
      </c>
      <c r="Y18" s="48">
        <f t="shared" si="11"/>
        <v>2264481.886797674</v>
      </c>
      <c r="Z18" s="48">
        <f t="shared" si="11"/>
        <v>2275804.2962316619</v>
      </c>
      <c r="AA18" s="48">
        <f t="shared" si="11"/>
        <v>2287183.3177128201</v>
      </c>
      <c r="AB18" s="48">
        <f t="shared" si="11"/>
        <v>2298619.2343013836</v>
      </c>
      <c r="AC18" s="48">
        <f t="shared" si="11"/>
        <v>2310112.3304728903</v>
      </c>
      <c r="AD18" s="48">
        <f t="shared" si="11"/>
        <v>2321662.8921252545</v>
      </c>
      <c r="AE18" s="48">
        <f t="shared" si="11"/>
        <v>2333271.2065858804</v>
      </c>
      <c r="AF18" s="48">
        <f t="shared" si="11"/>
        <v>2344937.5626188098</v>
      </c>
      <c r="AG18" s="48">
        <f t="shared" si="11"/>
        <v>2356662.2504319036</v>
      </c>
      <c r="AH18" s="48">
        <f t="shared" si="11"/>
        <v>2368445.5616840627</v>
      </c>
      <c r="AI18" s="48">
        <f t="shared" si="11"/>
        <v>2380287.7894924828</v>
      </c>
      <c r="AJ18" s="48">
        <f t="shared" si="11"/>
        <v>2392189.2284399453</v>
      </c>
      <c r="AK18" s="48">
        <f t="shared" si="11"/>
        <v>2404150.1745821442</v>
      </c>
      <c r="AL18" s="48">
        <f t="shared" si="11"/>
        <v>2416170.9254550547</v>
      </c>
      <c r="AM18" s="48">
        <f t="shared" si="11"/>
        <v>2428251.7800823301</v>
      </c>
      <c r="AN18" s="48">
        <f t="shared" si="11"/>
        <v>2440393.0389827411</v>
      </c>
      <c r="AO18" s="48">
        <f t="shared" si="11"/>
        <v>2452595.0041776546</v>
      </c>
      <c r="AP18" s="48">
        <f t="shared" si="11"/>
        <v>2464857.9791985424</v>
      </c>
      <c r="AQ18" s="7"/>
    </row>
    <row r="19" spans="1:43" x14ac:dyDescent="0.2">
      <c r="A19" s="14"/>
      <c r="B19" s="19"/>
      <c r="C19" s="32"/>
      <c r="D19" s="16"/>
      <c r="E19" s="4"/>
      <c r="F19" s="51" t="s">
        <v>26</v>
      </c>
      <c r="G19" s="44">
        <v>0</v>
      </c>
      <c r="H19" s="48">
        <f>2311550*C28</f>
        <v>462519.95983292168</v>
      </c>
      <c r="I19" s="48">
        <f>2311550*(C28+C29)*1.005</f>
        <v>1243528.0772467947</v>
      </c>
      <c r="J19" s="48">
        <f>2311550*(C28+C29+C30)*1.005^2</f>
        <v>1775353.8543848118</v>
      </c>
      <c r="K19" s="48">
        <f>2311550*1.005^3</f>
        <v>2346396.9051937493</v>
      </c>
      <c r="L19" s="48">
        <f>K19*1.005</f>
        <v>2358128.8897197177</v>
      </c>
      <c r="M19" s="48">
        <f>L19*1.005</f>
        <v>2369919.5341683161</v>
      </c>
      <c r="N19" s="48">
        <f t="shared" ref="N19:AP19" si="12">M19*1.005</f>
        <v>2381769.1318391575</v>
      </c>
      <c r="O19" s="48">
        <f t="shared" si="12"/>
        <v>2393677.977498353</v>
      </c>
      <c r="P19" s="48">
        <f t="shared" si="12"/>
        <v>2405646.3673858447</v>
      </c>
      <c r="Q19" s="48">
        <f t="shared" si="12"/>
        <v>2417674.5992227737</v>
      </c>
      <c r="R19" s="48">
        <f t="shared" si="12"/>
        <v>2429762.9722188874</v>
      </c>
      <c r="S19" s="48">
        <f t="shared" si="12"/>
        <v>2441911.7870799815</v>
      </c>
      <c r="T19" s="48">
        <f t="shared" si="12"/>
        <v>2454121.3460153812</v>
      </c>
      <c r="U19" s="48">
        <f t="shared" si="12"/>
        <v>2466391.9527454576</v>
      </c>
      <c r="V19" s="48">
        <f t="shared" si="12"/>
        <v>2478723.9125091848</v>
      </c>
      <c r="W19" s="48">
        <f t="shared" si="12"/>
        <v>2491117.5320717306</v>
      </c>
      <c r="X19" s="48">
        <f t="shared" si="12"/>
        <v>2503573.1197320889</v>
      </c>
      <c r="Y19" s="48">
        <f t="shared" si="12"/>
        <v>2516090.9853307488</v>
      </c>
      <c r="Z19" s="48">
        <f t="shared" si="12"/>
        <v>2528671.4402574021</v>
      </c>
      <c r="AA19" s="48">
        <f t="shared" si="12"/>
        <v>2541314.7974586887</v>
      </c>
      <c r="AB19" s="48">
        <f t="shared" si="12"/>
        <v>2554021.3714459818</v>
      </c>
      <c r="AC19" s="48">
        <f t="shared" si="12"/>
        <v>2566791.4783032113</v>
      </c>
      <c r="AD19" s="48">
        <f t="shared" si="12"/>
        <v>2579625.4356947271</v>
      </c>
      <c r="AE19" s="48">
        <f t="shared" si="12"/>
        <v>2592523.5628732005</v>
      </c>
      <c r="AF19" s="48">
        <f t="shared" si="12"/>
        <v>2605486.1806875663</v>
      </c>
      <c r="AG19" s="48">
        <f t="shared" si="12"/>
        <v>2618513.6115910038</v>
      </c>
      <c r="AH19" s="48">
        <f t="shared" si="12"/>
        <v>2631606.1796489586</v>
      </c>
      <c r="AI19" s="48">
        <f t="shared" si="12"/>
        <v>2644764.2105472032</v>
      </c>
      <c r="AJ19" s="48">
        <f t="shared" si="12"/>
        <v>2657988.0315999389</v>
      </c>
      <c r="AK19" s="48">
        <f t="shared" si="12"/>
        <v>2671277.9717579382</v>
      </c>
      <c r="AL19" s="48">
        <f t="shared" si="12"/>
        <v>2684634.3616167274</v>
      </c>
      <c r="AM19" s="48">
        <f t="shared" si="12"/>
        <v>2698057.533424811</v>
      </c>
      <c r="AN19" s="48">
        <f t="shared" si="12"/>
        <v>2711547.8210919346</v>
      </c>
      <c r="AO19" s="48">
        <f t="shared" si="12"/>
        <v>2725105.5601973939</v>
      </c>
      <c r="AP19" s="48">
        <f t="shared" si="12"/>
        <v>2738731.0879983804</v>
      </c>
      <c r="AQ19" s="5"/>
    </row>
    <row r="20" spans="1:43" x14ac:dyDescent="0.2">
      <c r="A20" s="14"/>
      <c r="B20" s="15" t="s">
        <v>59</v>
      </c>
      <c r="C20" s="28"/>
      <c r="D20" s="16"/>
      <c r="E20" s="4"/>
      <c r="F20" s="52" t="s">
        <v>27</v>
      </c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  <c r="AD20" s="50"/>
      <c r="AE20" s="50"/>
      <c r="AF20" s="50"/>
      <c r="AG20" s="50"/>
      <c r="AH20" s="50"/>
      <c r="AI20" s="50"/>
      <c r="AJ20" s="50"/>
      <c r="AK20" s="50"/>
      <c r="AL20" s="50"/>
      <c r="AM20" s="50"/>
      <c r="AN20" s="50"/>
      <c r="AO20" s="50"/>
      <c r="AP20" s="50"/>
      <c r="AQ20" s="5"/>
    </row>
    <row r="21" spans="1:43" x14ac:dyDescent="0.2">
      <c r="A21" s="14"/>
      <c r="B21" s="27" t="s">
        <v>40</v>
      </c>
      <c r="C21" s="35">
        <f>NPV(C13-C12,G38:AP38)</f>
        <v>-602627142.73700488</v>
      </c>
      <c r="D21" s="16"/>
      <c r="E21" s="4"/>
      <c r="F21" s="51" t="s">
        <v>28</v>
      </c>
      <c r="G21" s="44">
        <f>C5*C28</f>
        <v>232984141.1553441</v>
      </c>
      <c r="H21" s="44">
        <f>C29*C5</f>
        <v>390299049.91288769</v>
      </c>
      <c r="I21" s="44">
        <f>C5*C30</f>
        <v>262135498.52888986</v>
      </c>
      <c r="J21" s="44">
        <f>C5*C31</f>
        <v>278973203.2028783</v>
      </c>
      <c r="K21" s="44">
        <v>0</v>
      </c>
      <c r="L21" s="44">
        <v>0</v>
      </c>
      <c r="M21" s="44">
        <v>0</v>
      </c>
      <c r="N21" s="44">
        <v>0</v>
      </c>
      <c r="O21" s="44">
        <v>0</v>
      </c>
      <c r="P21" s="44">
        <v>0</v>
      </c>
      <c r="Q21" s="44">
        <v>0</v>
      </c>
      <c r="R21" s="44">
        <v>0</v>
      </c>
      <c r="S21" s="44">
        <v>0</v>
      </c>
      <c r="T21" s="44">
        <v>0</v>
      </c>
      <c r="U21" s="44">
        <v>0</v>
      </c>
      <c r="V21" s="44">
        <v>0</v>
      </c>
      <c r="W21" s="44">
        <v>0</v>
      </c>
      <c r="X21" s="44">
        <v>0</v>
      </c>
      <c r="Y21" s="44">
        <v>0</v>
      </c>
      <c r="Z21" s="44">
        <v>0</v>
      </c>
      <c r="AA21" s="44">
        <v>0</v>
      </c>
      <c r="AB21" s="44">
        <v>0</v>
      </c>
      <c r="AC21" s="44">
        <v>0</v>
      </c>
      <c r="AD21" s="44">
        <v>0</v>
      </c>
      <c r="AE21" s="44">
        <v>0</v>
      </c>
      <c r="AF21" s="44">
        <v>0</v>
      </c>
      <c r="AG21" s="44">
        <v>0</v>
      </c>
      <c r="AH21" s="44">
        <v>0</v>
      </c>
      <c r="AI21" s="44">
        <v>0</v>
      </c>
      <c r="AJ21" s="44">
        <v>0</v>
      </c>
      <c r="AK21" s="44">
        <v>0</v>
      </c>
      <c r="AL21" s="44">
        <v>0</v>
      </c>
      <c r="AM21" s="44">
        <v>0</v>
      </c>
      <c r="AN21" s="44">
        <v>0</v>
      </c>
      <c r="AO21" s="44">
        <v>0</v>
      </c>
      <c r="AP21" s="44">
        <v>0</v>
      </c>
      <c r="AQ21" s="5"/>
    </row>
    <row r="22" spans="1:43" x14ac:dyDescent="0.2">
      <c r="A22" s="14"/>
      <c r="B22" s="27" t="s">
        <v>7</v>
      </c>
      <c r="C22" s="28" t="s">
        <v>9</v>
      </c>
      <c r="D22" s="16"/>
      <c r="E22" s="4"/>
      <c r="F22" s="51" t="s">
        <v>29</v>
      </c>
      <c r="G22" s="44">
        <v>40457384.986908004</v>
      </c>
      <c r="H22" s="44">
        <v>52174850.277866997</v>
      </c>
      <c r="I22" s="44">
        <v>24075306.014469001</v>
      </c>
      <c r="J22" s="44">
        <v>42987910.951772995</v>
      </c>
      <c r="K22" s="44">
        <v>0</v>
      </c>
      <c r="L22" s="44">
        <v>0</v>
      </c>
      <c r="M22" s="44">
        <v>0</v>
      </c>
      <c r="N22" s="44">
        <v>0</v>
      </c>
      <c r="O22" s="44">
        <v>0</v>
      </c>
      <c r="P22" s="44">
        <v>0</v>
      </c>
      <c r="Q22" s="44">
        <v>0</v>
      </c>
      <c r="R22" s="44">
        <v>0</v>
      </c>
      <c r="S22" s="44">
        <v>0</v>
      </c>
      <c r="T22" s="44">
        <v>0</v>
      </c>
      <c r="U22" s="44">
        <v>0</v>
      </c>
      <c r="V22" s="44">
        <v>0</v>
      </c>
      <c r="W22" s="44">
        <v>0</v>
      </c>
      <c r="X22" s="44">
        <v>0</v>
      </c>
      <c r="Y22" s="44">
        <v>0</v>
      </c>
      <c r="Z22" s="44">
        <v>0</v>
      </c>
      <c r="AA22" s="44">
        <v>0</v>
      </c>
      <c r="AB22" s="44">
        <v>0</v>
      </c>
      <c r="AC22" s="44">
        <v>0</v>
      </c>
      <c r="AD22" s="44">
        <v>0</v>
      </c>
      <c r="AE22" s="44">
        <v>0</v>
      </c>
      <c r="AF22" s="44">
        <v>0</v>
      </c>
      <c r="AG22" s="44">
        <v>0</v>
      </c>
      <c r="AH22" s="44">
        <v>0</v>
      </c>
      <c r="AI22" s="44">
        <v>0</v>
      </c>
      <c r="AJ22" s="44">
        <v>0</v>
      </c>
      <c r="AK22" s="44">
        <v>0</v>
      </c>
      <c r="AL22" s="44">
        <v>0</v>
      </c>
      <c r="AM22" s="44">
        <v>0</v>
      </c>
      <c r="AN22" s="44">
        <v>0</v>
      </c>
      <c r="AO22" s="44">
        <v>0</v>
      </c>
      <c r="AP22" s="44">
        <v>0</v>
      </c>
      <c r="AQ22" s="5"/>
    </row>
    <row r="23" spans="1:43" x14ac:dyDescent="0.2">
      <c r="A23" s="14"/>
      <c r="B23" s="27" t="s">
        <v>41</v>
      </c>
      <c r="C23" s="29">
        <f>IRR(G38:AP38,0.18)</f>
        <v>6.1235512342883602E-2</v>
      </c>
      <c r="D23" s="16"/>
      <c r="E23" s="4"/>
      <c r="F23" s="51" t="s">
        <v>30</v>
      </c>
      <c r="G23" s="44">
        <v>45586667.642525315</v>
      </c>
      <c r="H23" s="44">
        <v>88491766.600196213</v>
      </c>
      <c r="I23" s="44">
        <v>67039217.121360756</v>
      </c>
      <c r="J23" s="44">
        <v>67039217.121360756</v>
      </c>
      <c r="K23" s="44">
        <v>0</v>
      </c>
      <c r="L23" s="44">
        <v>0</v>
      </c>
      <c r="M23" s="44">
        <v>0</v>
      </c>
      <c r="N23" s="44">
        <v>0</v>
      </c>
      <c r="O23" s="44">
        <v>0</v>
      </c>
      <c r="P23" s="44">
        <v>0</v>
      </c>
      <c r="Q23" s="44">
        <v>0</v>
      </c>
      <c r="R23" s="44">
        <v>0</v>
      </c>
      <c r="S23" s="44">
        <v>0</v>
      </c>
      <c r="T23" s="44">
        <v>0</v>
      </c>
      <c r="U23" s="44">
        <v>0</v>
      </c>
      <c r="V23" s="44">
        <v>0</v>
      </c>
      <c r="W23" s="44">
        <v>0</v>
      </c>
      <c r="X23" s="44">
        <v>0</v>
      </c>
      <c r="Y23" s="44">
        <v>0</v>
      </c>
      <c r="Z23" s="44">
        <v>0</v>
      </c>
      <c r="AA23" s="44">
        <v>0</v>
      </c>
      <c r="AB23" s="44">
        <v>0</v>
      </c>
      <c r="AC23" s="44">
        <v>0</v>
      </c>
      <c r="AD23" s="44">
        <v>0</v>
      </c>
      <c r="AE23" s="44">
        <v>0</v>
      </c>
      <c r="AF23" s="44">
        <v>0</v>
      </c>
      <c r="AG23" s="44">
        <v>0</v>
      </c>
      <c r="AH23" s="44">
        <v>0</v>
      </c>
      <c r="AI23" s="44">
        <v>0</v>
      </c>
      <c r="AJ23" s="44">
        <v>0</v>
      </c>
      <c r="AK23" s="44">
        <v>0</v>
      </c>
      <c r="AL23" s="44">
        <v>0</v>
      </c>
      <c r="AM23" s="44">
        <v>0</v>
      </c>
      <c r="AN23" s="44">
        <v>0</v>
      </c>
      <c r="AO23" s="44">
        <v>0</v>
      </c>
      <c r="AP23" s="44">
        <v>0</v>
      </c>
      <c r="AQ23" s="5"/>
    </row>
    <row r="24" spans="1:43" x14ac:dyDescent="0.2">
      <c r="A24" s="14"/>
      <c r="B24" s="27" t="s">
        <v>42</v>
      </c>
      <c r="C24" s="29">
        <f>C23+C12</f>
        <v>0.1062355123428836</v>
      </c>
      <c r="D24" s="16"/>
      <c r="E24" s="4"/>
      <c r="F24" s="51" t="s">
        <v>31</v>
      </c>
      <c r="G24" s="44">
        <v>29341367.039999999</v>
      </c>
      <c r="H24" s="44">
        <v>29341367.039999999</v>
      </c>
      <c r="I24" s="44">
        <v>0</v>
      </c>
      <c r="J24" s="44">
        <v>0</v>
      </c>
      <c r="K24" s="44">
        <v>0</v>
      </c>
      <c r="L24" s="44">
        <v>0</v>
      </c>
      <c r="M24" s="44">
        <v>0</v>
      </c>
      <c r="N24" s="44">
        <v>0</v>
      </c>
      <c r="O24" s="44">
        <v>0</v>
      </c>
      <c r="P24" s="44">
        <v>0</v>
      </c>
      <c r="Q24" s="44">
        <v>0</v>
      </c>
      <c r="R24" s="44">
        <v>0</v>
      </c>
      <c r="S24" s="44">
        <v>0</v>
      </c>
      <c r="T24" s="44">
        <v>0</v>
      </c>
      <c r="U24" s="44">
        <v>0</v>
      </c>
      <c r="V24" s="44">
        <v>0</v>
      </c>
      <c r="W24" s="44">
        <v>0</v>
      </c>
      <c r="X24" s="44">
        <v>0</v>
      </c>
      <c r="Y24" s="44">
        <v>0</v>
      </c>
      <c r="Z24" s="44">
        <v>0</v>
      </c>
      <c r="AA24" s="44">
        <v>0</v>
      </c>
      <c r="AB24" s="44">
        <v>0</v>
      </c>
      <c r="AC24" s="44">
        <v>0</v>
      </c>
      <c r="AD24" s="44">
        <v>0</v>
      </c>
      <c r="AE24" s="44">
        <v>0</v>
      </c>
      <c r="AF24" s="44">
        <v>0</v>
      </c>
      <c r="AG24" s="44">
        <v>0</v>
      </c>
      <c r="AH24" s="44">
        <v>0</v>
      </c>
      <c r="AI24" s="44">
        <v>0</v>
      </c>
      <c r="AJ24" s="44">
        <v>0</v>
      </c>
      <c r="AK24" s="44">
        <v>0</v>
      </c>
      <c r="AL24" s="44">
        <v>0</v>
      </c>
      <c r="AM24" s="44">
        <v>0</v>
      </c>
      <c r="AN24" s="44">
        <v>0</v>
      </c>
      <c r="AO24" s="44">
        <v>0</v>
      </c>
      <c r="AP24" s="44">
        <v>0</v>
      </c>
      <c r="AQ24" s="5"/>
    </row>
    <row r="25" spans="1:43" x14ac:dyDescent="0.2">
      <c r="A25" s="14"/>
      <c r="B25" s="19"/>
      <c r="C25" s="33"/>
      <c r="D25" s="16"/>
      <c r="E25" s="4"/>
      <c r="F25" s="51" t="s">
        <v>32</v>
      </c>
      <c r="G25" s="44">
        <v>8049050.0667150002</v>
      </c>
      <c r="H25" s="44">
        <v>0</v>
      </c>
      <c r="I25" s="44">
        <v>0</v>
      </c>
      <c r="J25" s="44">
        <v>0</v>
      </c>
      <c r="K25" s="44">
        <v>0</v>
      </c>
      <c r="L25" s="44">
        <v>0</v>
      </c>
      <c r="M25" s="44">
        <v>0</v>
      </c>
      <c r="N25" s="44">
        <v>0</v>
      </c>
      <c r="O25" s="44">
        <v>0</v>
      </c>
      <c r="P25" s="44">
        <v>0</v>
      </c>
      <c r="Q25" s="44">
        <v>0</v>
      </c>
      <c r="R25" s="44">
        <v>0</v>
      </c>
      <c r="S25" s="44">
        <v>0</v>
      </c>
      <c r="T25" s="44">
        <v>0</v>
      </c>
      <c r="U25" s="44">
        <v>0</v>
      </c>
      <c r="V25" s="44">
        <v>0</v>
      </c>
      <c r="W25" s="44">
        <v>0</v>
      </c>
      <c r="X25" s="44">
        <v>0</v>
      </c>
      <c r="Y25" s="44">
        <v>0</v>
      </c>
      <c r="Z25" s="44">
        <v>0</v>
      </c>
      <c r="AA25" s="44">
        <v>0</v>
      </c>
      <c r="AB25" s="44">
        <v>0</v>
      </c>
      <c r="AC25" s="44">
        <v>0</v>
      </c>
      <c r="AD25" s="44">
        <v>0</v>
      </c>
      <c r="AE25" s="44">
        <v>0</v>
      </c>
      <c r="AF25" s="44">
        <v>0</v>
      </c>
      <c r="AG25" s="44">
        <v>0</v>
      </c>
      <c r="AH25" s="44">
        <v>0</v>
      </c>
      <c r="AI25" s="44">
        <v>0</v>
      </c>
      <c r="AJ25" s="44">
        <v>0</v>
      </c>
      <c r="AK25" s="44">
        <v>0</v>
      </c>
      <c r="AL25" s="44">
        <v>0</v>
      </c>
      <c r="AM25" s="44">
        <v>0</v>
      </c>
      <c r="AN25" s="44">
        <v>0</v>
      </c>
      <c r="AO25" s="44">
        <v>0</v>
      </c>
      <c r="AP25" s="44">
        <v>0</v>
      </c>
      <c r="AQ25" s="5"/>
    </row>
    <row r="26" spans="1:43" ht="13.5" thickBot="1" x14ac:dyDescent="0.25">
      <c r="A26" s="14"/>
      <c r="B26" s="25"/>
      <c r="C26" s="25"/>
      <c r="D26" s="16"/>
      <c r="E26" s="4"/>
      <c r="F26" s="51" t="s">
        <v>33</v>
      </c>
      <c r="G26" s="44">
        <v>138260167.6056726</v>
      </c>
      <c r="H26" s="44">
        <v>268387384.17571738</v>
      </c>
      <c r="I26" s="44">
        <v>203323775.89069501</v>
      </c>
      <c r="J26" s="44">
        <v>203323775.89069501</v>
      </c>
      <c r="K26" s="44">
        <v>0</v>
      </c>
      <c r="L26" s="44">
        <v>0</v>
      </c>
      <c r="M26" s="44">
        <v>0</v>
      </c>
      <c r="N26" s="44">
        <v>0</v>
      </c>
      <c r="O26" s="44">
        <v>0</v>
      </c>
      <c r="P26" s="44">
        <v>0</v>
      </c>
      <c r="Q26" s="44">
        <v>0</v>
      </c>
      <c r="R26" s="44">
        <v>0</v>
      </c>
      <c r="S26" s="44">
        <v>0</v>
      </c>
      <c r="T26" s="44">
        <v>0</v>
      </c>
      <c r="U26" s="44">
        <v>0</v>
      </c>
      <c r="V26" s="44">
        <v>0</v>
      </c>
      <c r="W26" s="44">
        <v>0</v>
      </c>
      <c r="X26" s="44">
        <v>0</v>
      </c>
      <c r="Y26" s="44">
        <v>0</v>
      </c>
      <c r="Z26" s="44">
        <v>0</v>
      </c>
      <c r="AA26" s="44">
        <v>0</v>
      </c>
      <c r="AB26" s="44">
        <v>0</v>
      </c>
      <c r="AC26" s="44">
        <v>0</v>
      </c>
      <c r="AD26" s="44">
        <v>0</v>
      </c>
      <c r="AE26" s="44">
        <v>0</v>
      </c>
      <c r="AF26" s="44">
        <v>0</v>
      </c>
      <c r="AG26" s="44">
        <v>0</v>
      </c>
      <c r="AH26" s="44">
        <v>0</v>
      </c>
      <c r="AI26" s="44">
        <v>0</v>
      </c>
      <c r="AJ26" s="44">
        <v>0</v>
      </c>
      <c r="AK26" s="44">
        <v>0</v>
      </c>
      <c r="AL26" s="44">
        <v>0</v>
      </c>
      <c r="AM26" s="44">
        <v>0</v>
      </c>
      <c r="AN26" s="44">
        <v>0</v>
      </c>
      <c r="AO26" s="44">
        <v>0</v>
      </c>
      <c r="AP26" s="44">
        <v>0</v>
      </c>
      <c r="AQ26" s="5"/>
    </row>
    <row r="27" spans="1:43" x14ac:dyDescent="0.2">
      <c r="A27" s="14"/>
      <c r="B27" s="19" t="s">
        <v>43</v>
      </c>
      <c r="C27" s="24"/>
      <c r="D27" s="16"/>
      <c r="E27" s="4"/>
      <c r="F27" s="51" t="s">
        <v>34</v>
      </c>
      <c r="G27" s="38">
        <v>0</v>
      </c>
      <c r="H27" s="38">
        <v>0</v>
      </c>
      <c r="I27" s="38">
        <v>0</v>
      </c>
      <c r="J27" s="38">
        <v>0</v>
      </c>
      <c r="K27" s="38">
        <v>0</v>
      </c>
      <c r="L27" s="44">
        <f>5000000*1.005^5</f>
        <v>5126256.2656406211</v>
      </c>
      <c r="M27" s="44">
        <v>0</v>
      </c>
      <c r="N27" s="44">
        <v>0</v>
      </c>
      <c r="O27" s="44">
        <v>0</v>
      </c>
      <c r="P27" s="44">
        <v>0</v>
      </c>
      <c r="Q27" s="44">
        <f>L27*1.005^5</f>
        <v>5255700.6602039449</v>
      </c>
      <c r="R27" s="44">
        <v>0</v>
      </c>
      <c r="S27" s="44">
        <v>0</v>
      </c>
      <c r="T27" s="44">
        <v>0</v>
      </c>
      <c r="U27" s="44">
        <v>0</v>
      </c>
      <c r="V27" s="44">
        <f>Q27*1.005^5</f>
        <v>5388413.6879404038</v>
      </c>
      <c r="W27" s="44">
        <v>0</v>
      </c>
      <c r="X27" s="44">
        <v>0</v>
      </c>
      <c r="Y27" s="44">
        <v>0</v>
      </c>
      <c r="Z27" s="44">
        <v>0</v>
      </c>
      <c r="AA27" s="44">
        <f>V27*1.005^5</f>
        <v>5524477.8859336358</v>
      </c>
      <c r="AB27" s="44">
        <v>0</v>
      </c>
      <c r="AC27" s="44">
        <v>0</v>
      </c>
      <c r="AD27" s="44">
        <v>0</v>
      </c>
      <c r="AE27" s="44">
        <v>0</v>
      </c>
      <c r="AF27" s="44">
        <f>AA27*1.005^5</f>
        <v>5663977.8754320703</v>
      </c>
      <c r="AG27" s="44">
        <v>0</v>
      </c>
      <c r="AH27" s="44">
        <v>0</v>
      </c>
      <c r="AI27" s="44">
        <v>0</v>
      </c>
      <c r="AJ27" s="44">
        <v>0</v>
      </c>
      <c r="AK27" s="44">
        <f>AF27*1.005^5</f>
        <v>5807000.4144767001</v>
      </c>
      <c r="AL27" s="44">
        <v>0</v>
      </c>
      <c r="AM27" s="44">
        <v>0</v>
      </c>
      <c r="AN27" s="44">
        <v>0</v>
      </c>
      <c r="AO27" s="44">
        <v>0</v>
      </c>
      <c r="AP27" s="44">
        <f>AK27*1.005^5</f>
        <v>5953634.4518577736</v>
      </c>
      <c r="AQ27" s="5"/>
    </row>
    <row r="28" spans="1:43" x14ac:dyDescent="0.2">
      <c r="A28" s="14"/>
      <c r="B28" s="18" t="s">
        <v>44</v>
      </c>
      <c r="C28" s="68">
        <f>C7/$C$6</f>
        <v>0.20009083075551976</v>
      </c>
      <c r="D28" s="16"/>
      <c r="E28" s="4"/>
      <c r="F28" s="53" t="s">
        <v>35</v>
      </c>
      <c r="G28" s="44">
        <v>0</v>
      </c>
      <c r="H28" s="44">
        <f>0.005*G26</f>
        <v>691300.83802836295</v>
      </c>
      <c r="I28" s="44">
        <f>0.005*(H26+G26)</f>
        <v>2033237.7589069498</v>
      </c>
      <c r="J28" s="44">
        <f>0.005*(I26+H26+G26)</f>
        <v>3049856.6383604254</v>
      </c>
      <c r="K28" s="44">
        <f>0.005*(J26+I26+H26+G26)</f>
        <v>4066475.5178139</v>
      </c>
      <c r="L28" s="44">
        <f>K28*1.045</f>
        <v>4249466.9161155252</v>
      </c>
      <c r="M28" s="44">
        <f t="shared" ref="M28:AP28" si="13">L28*1.045</f>
        <v>4440692.9273407236</v>
      </c>
      <c r="N28" s="44">
        <f t="shared" si="13"/>
        <v>4640524.1090710554</v>
      </c>
      <c r="O28" s="44">
        <f t="shared" si="13"/>
        <v>4849347.6939792521</v>
      </c>
      <c r="P28" s="44">
        <f t="shared" si="13"/>
        <v>5067568.3402083181</v>
      </c>
      <c r="Q28" s="44">
        <f t="shared" si="13"/>
        <v>5295608.9155176925</v>
      </c>
      <c r="R28" s="44">
        <f t="shared" si="13"/>
        <v>5533911.3167159883</v>
      </c>
      <c r="S28" s="44">
        <f t="shared" si="13"/>
        <v>5782937.3259682078</v>
      </c>
      <c r="T28" s="44">
        <f t="shared" si="13"/>
        <v>6043169.5056367768</v>
      </c>
      <c r="U28" s="44">
        <f t="shared" si="13"/>
        <v>6315112.1333904313</v>
      </c>
      <c r="V28" s="44">
        <f t="shared" si="13"/>
        <v>6599292.179393</v>
      </c>
      <c r="W28" s="44">
        <f t="shared" si="13"/>
        <v>6896260.3274656842</v>
      </c>
      <c r="X28" s="44">
        <f t="shared" si="13"/>
        <v>7206592.0422016392</v>
      </c>
      <c r="Y28" s="44">
        <f t="shared" si="13"/>
        <v>7530888.6841007126</v>
      </c>
      <c r="Z28" s="44">
        <f t="shared" si="13"/>
        <v>7869778.6748852441</v>
      </c>
      <c r="AA28" s="44">
        <f t="shared" si="13"/>
        <v>8223918.7152550798</v>
      </c>
      <c r="AB28" s="44">
        <f t="shared" si="13"/>
        <v>8593995.0574415587</v>
      </c>
      <c r="AC28" s="44">
        <f t="shared" si="13"/>
        <v>8980724.8350264281</v>
      </c>
      <c r="AD28" s="44">
        <f t="shared" si="13"/>
        <v>9384857.4526026174</v>
      </c>
      <c r="AE28" s="44">
        <f t="shared" si="13"/>
        <v>9807176.0379697345</v>
      </c>
      <c r="AF28" s="44">
        <f t="shared" si="13"/>
        <v>10248498.959678372</v>
      </c>
      <c r="AG28" s="44">
        <f t="shared" si="13"/>
        <v>10709681.412863899</v>
      </c>
      <c r="AH28" s="44">
        <f t="shared" si="13"/>
        <v>11191617.076442774</v>
      </c>
      <c r="AI28" s="44">
        <f t="shared" si="13"/>
        <v>11695239.844882699</v>
      </c>
      <c r="AJ28" s="44">
        <f t="shared" si="13"/>
        <v>12221525.63790242</v>
      </c>
      <c r="AK28" s="44">
        <f t="shared" si="13"/>
        <v>12771494.291608028</v>
      </c>
      <c r="AL28" s="44">
        <f t="shared" si="13"/>
        <v>13346211.534730388</v>
      </c>
      <c r="AM28" s="44">
        <f t="shared" si="13"/>
        <v>13946791.053793255</v>
      </c>
      <c r="AN28" s="44">
        <f t="shared" si="13"/>
        <v>14574396.651213951</v>
      </c>
      <c r="AO28" s="44">
        <f t="shared" si="13"/>
        <v>15230244.500518579</v>
      </c>
      <c r="AP28" s="44">
        <f t="shared" si="13"/>
        <v>15915605.503041914</v>
      </c>
      <c r="AQ28" s="5"/>
    </row>
    <row r="29" spans="1:43" x14ac:dyDescent="0.2">
      <c r="A29" s="14"/>
      <c r="B29" s="18" t="s">
        <v>45</v>
      </c>
      <c r="C29" s="68">
        <f t="shared" ref="C29:C31" si="14">C8/$C$6</f>
        <v>0.33519560925002662</v>
      </c>
      <c r="D29" s="16"/>
      <c r="E29" s="4"/>
      <c r="F29" s="49" t="s">
        <v>36</v>
      </c>
      <c r="G29" s="50"/>
      <c r="H29" s="44">
        <f>SUM(H30:H35)</f>
        <v>6510196.7871847097</v>
      </c>
      <c r="I29" s="44">
        <f t="shared" ref="I29:AP29" si="15">SUM(I30:I35)</f>
        <v>17621728.723374225</v>
      </c>
      <c r="J29" s="44">
        <f t="shared" si="15"/>
        <v>25328623.799626701</v>
      </c>
      <c r="K29" s="44">
        <f t="shared" si="15"/>
        <v>52668077.938580804</v>
      </c>
      <c r="L29" s="44">
        <f t="shared" si="15"/>
        <v>53291283.769295894</v>
      </c>
      <c r="M29" s="44">
        <f t="shared" si="15"/>
        <v>53922413.692890488</v>
      </c>
      <c r="N29" s="44">
        <f t="shared" si="15"/>
        <v>54561572.718631402</v>
      </c>
      <c r="O29" s="44">
        <f t="shared" si="15"/>
        <v>55208867.29434225</v>
      </c>
      <c r="P29" s="44">
        <f t="shared" si="15"/>
        <v>55864405.326625727</v>
      </c>
      <c r="Q29" s="44">
        <f t="shared" si="15"/>
        <v>56528296.201375648</v>
      </c>
      <c r="R29" s="44">
        <f t="shared" si="15"/>
        <v>57200650.804582961</v>
      </c>
      <c r="S29" s="44">
        <f t="shared" si="15"/>
        <v>57881581.543440253</v>
      </c>
      <c r="T29" s="44">
        <f t="shared" si="15"/>
        <v>58571202.367748678</v>
      </c>
      <c r="U29" s="44">
        <f t="shared" si="15"/>
        <v>59269628.791632101</v>
      </c>
      <c r="V29" s="44">
        <f t="shared" si="15"/>
        <v>59976977.915562645</v>
      </c>
      <c r="W29" s="44">
        <f t="shared" si="15"/>
        <v>60693368.448702298</v>
      </c>
      <c r="X29" s="44">
        <f t="shared" si="15"/>
        <v>61418920.731565289</v>
      </c>
      <c r="Y29" s="44">
        <f t="shared" si="15"/>
        <v>62153756.759005517</v>
      </c>
      <c r="Z29" s="44">
        <f t="shared" si="15"/>
        <v>62898000.20353426</v>
      </c>
      <c r="AA29" s="44">
        <f t="shared" si="15"/>
        <v>63651776.438972577</v>
      </c>
      <c r="AB29" s="44">
        <f t="shared" si="15"/>
        <v>64415212.564443462</v>
      </c>
      <c r="AC29" s="44">
        <f t="shared" si="15"/>
        <v>65188437.42870871</v>
      </c>
      <c r="AD29" s="44">
        <f t="shared" si="15"/>
        <v>65971581.654855393</v>
      </c>
      <c r="AE29" s="44">
        <f t="shared" si="15"/>
        <v>66764777.665337056</v>
      </c>
      <c r="AF29" s="44">
        <f t="shared" si="15"/>
        <v>67568159.707375079</v>
      </c>
      <c r="AG29" s="44">
        <f t="shared" si="15"/>
        <v>68381863.878724873</v>
      </c>
      <c r="AH29" s="44">
        <f t="shared" si="15"/>
        <v>69206028.15381293</v>
      </c>
      <c r="AI29" s="44">
        <f t="shared" si="15"/>
        <v>70040792.410249397</v>
      </c>
      <c r="AJ29" s="44">
        <f t="shared" si="15"/>
        <v>70886298.455722436</v>
      </c>
      <c r="AK29" s="44">
        <f t="shared" si="15"/>
        <v>71742690.055279106</v>
      </c>
      <c r="AL29" s="44">
        <f t="shared" si="15"/>
        <v>72610112.958999127</v>
      </c>
      <c r="AM29" s="44">
        <f t="shared" si="15"/>
        <v>73488714.930066809</v>
      </c>
      <c r="AN29" s="44">
        <f t="shared" si="15"/>
        <v>74378645.773246899</v>
      </c>
      <c r="AO29" s="44">
        <f t="shared" si="15"/>
        <v>75280057.363770947</v>
      </c>
      <c r="AP29" s="44">
        <f t="shared" si="15"/>
        <v>76193103.676638916</v>
      </c>
      <c r="AQ29" s="5"/>
    </row>
    <row r="30" spans="1:43" x14ac:dyDescent="0.2">
      <c r="A30" s="14"/>
      <c r="B30" s="18" t="s">
        <v>46</v>
      </c>
      <c r="C30" s="68">
        <f t="shared" si="14"/>
        <v>0.22512652325200891</v>
      </c>
      <c r="D30" s="16"/>
      <c r="E30" s="4"/>
      <c r="F30" s="51" t="s">
        <v>0</v>
      </c>
      <c r="G30" s="54">
        <v>6.4999999999999997E-3</v>
      </c>
      <c r="H30" s="44">
        <f>$G$30*H5</f>
        <v>496087.68014889344</v>
      </c>
      <c r="I30" s="44">
        <f t="shared" ref="I30:AP30" si="16">$G$30*I5</f>
        <v>1342804.6506674381</v>
      </c>
      <c r="J30" s="44">
        <f t="shared" si="16"/>
        <v>1930082.7045436525</v>
      </c>
      <c r="K30" s="44">
        <f t="shared" si="16"/>
        <v>2568210.8522188691</v>
      </c>
      <c r="L30" s="44">
        <f t="shared" si="16"/>
        <v>2598599.7336865962</v>
      </c>
      <c r="M30" s="44">
        <f t="shared" si="16"/>
        <v>2629375.0112812319</v>
      </c>
      <c r="N30" s="44">
        <f t="shared" si="16"/>
        <v>2660541.8054846521</v>
      </c>
      <c r="O30" s="44">
        <f t="shared" si="16"/>
        <v>2692105.3069259161</v>
      </c>
      <c r="P30" s="44">
        <f t="shared" si="16"/>
        <v>2724070.777367346</v>
      </c>
      <c r="Q30" s="44">
        <f t="shared" si="16"/>
        <v>2756443.5507047386</v>
      </c>
      <c r="R30" s="44">
        <f t="shared" si="16"/>
        <v>2789229.0339819146</v>
      </c>
      <c r="S30" s="44">
        <f t="shared" si="16"/>
        <v>2822432.708419817</v>
      </c>
      <c r="T30" s="44">
        <f t="shared" si="16"/>
        <v>2856060.1304603629</v>
      </c>
      <c r="U30" s="44">
        <f t="shared" si="16"/>
        <v>2890116.932825271</v>
      </c>
      <c r="V30" s="44">
        <f t="shared" si="16"/>
        <v>2924608.8255900759</v>
      </c>
      <c r="W30" s="44">
        <f t="shared" si="16"/>
        <v>2959541.5972735556</v>
      </c>
      <c r="X30" s="44">
        <f t="shared" si="16"/>
        <v>2994921.1159427934</v>
      </c>
      <c r="Y30" s="44">
        <f t="shared" si="16"/>
        <v>3030753.3303341023</v>
      </c>
      <c r="Z30" s="44">
        <f t="shared" si="16"/>
        <v>3067044.2709900425</v>
      </c>
      <c r="AA30" s="44">
        <f t="shared" si="16"/>
        <v>3103800.0514127659</v>
      </c>
      <c r="AB30" s="44">
        <f t="shared" si="16"/>
        <v>3141026.8692339272</v>
      </c>
      <c r="AC30" s="44">
        <f t="shared" si="16"/>
        <v>3178731.0074013998</v>
      </c>
      <c r="AD30" s="44">
        <f t="shared" si="16"/>
        <v>3216918.8353830455</v>
      </c>
      <c r="AE30" s="44">
        <f t="shared" si="16"/>
        <v>3255596.8103877781</v>
      </c>
      <c r="AF30" s="44">
        <f t="shared" si="16"/>
        <v>3294771.4786041859</v>
      </c>
      <c r="AG30" s="44">
        <f t="shared" si="16"/>
        <v>3334449.4764569518</v>
      </c>
      <c r="AH30" s="44">
        <f t="shared" si="16"/>
        <v>3374637.5318813506</v>
      </c>
      <c r="AI30" s="44">
        <f t="shared" si="16"/>
        <v>3415342.4656160623</v>
      </c>
      <c r="AJ30" s="44">
        <f t="shared" si="16"/>
        <v>3456571.1925145974</v>
      </c>
      <c r="AK30" s="44">
        <f t="shared" si="16"/>
        <v>3498330.7228755755</v>
      </c>
      <c r="AL30" s="44">
        <f t="shared" si="16"/>
        <v>3540628.1637921557</v>
      </c>
      <c r="AM30" s="44">
        <f t="shared" si="16"/>
        <v>3583470.7205208866</v>
      </c>
      <c r="AN30" s="44">
        <f t="shared" si="16"/>
        <v>3626865.6978702541</v>
      </c>
      <c r="AO30" s="44">
        <f t="shared" si="16"/>
        <v>3670820.5016092355</v>
      </c>
      <c r="AP30" s="44">
        <f t="shared" si="16"/>
        <v>3715342.6398961209</v>
      </c>
      <c r="AQ30" s="5"/>
    </row>
    <row r="31" spans="1:43" x14ac:dyDescent="0.2">
      <c r="A31" s="14"/>
      <c r="B31" s="69" t="s">
        <v>47</v>
      </c>
      <c r="C31" s="70">
        <f t="shared" si="14"/>
        <v>0.23958703674244466</v>
      </c>
      <c r="D31" s="16"/>
      <c r="E31" s="4"/>
      <c r="F31" s="51" t="s">
        <v>1</v>
      </c>
      <c r="G31" s="54">
        <v>0.03</v>
      </c>
      <c r="H31" s="44">
        <f>$G$31*H5</f>
        <v>2289635.4468410467</v>
      </c>
      <c r="I31" s="44">
        <f t="shared" ref="I31:AP31" si="17">$G$31*I5</f>
        <v>6197559.9261574065</v>
      </c>
      <c r="J31" s="44">
        <f t="shared" si="17"/>
        <v>8908074.020970704</v>
      </c>
      <c r="K31" s="44">
        <f t="shared" si="17"/>
        <v>11853280.856394779</v>
      </c>
      <c r="L31" s="44">
        <f t="shared" si="17"/>
        <v>11993537.232399674</v>
      </c>
      <c r="M31" s="44">
        <f t="shared" si="17"/>
        <v>12135576.975144146</v>
      </c>
      <c r="N31" s="44">
        <f t="shared" si="17"/>
        <v>12279423.71762147</v>
      </c>
      <c r="O31" s="44">
        <f t="shared" si="17"/>
        <v>12425101.416581152</v>
      </c>
      <c r="P31" s="44">
        <f t="shared" si="17"/>
        <v>12572634.357080059</v>
      </c>
      <c r="Q31" s="44">
        <f t="shared" si="17"/>
        <v>12722047.157098794</v>
      </c>
      <c r="R31" s="44">
        <f t="shared" si="17"/>
        <v>12873364.772224221</v>
      </c>
      <c r="S31" s="44">
        <f t="shared" si="17"/>
        <v>13026612.500399156</v>
      </c>
      <c r="T31" s="44">
        <f t="shared" si="17"/>
        <v>13181815.986740137</v>
      </c>
      <c r="U31" s="44">
        <f t="shared" si="17"/>
        <v>13339001.228424327</v>
      </c>
      <c r="V31" s="44">
        <f t="shared" si="17"/>
        <v>13498194.579646505</v>
      </c>
      <c r="W31" s="44">
        <f t="shared" si="17"/>
        <v>13659422.756647179</v>
      </c>
      <c r="X31" s="44">
        <f t="shared" si="17"/>
        <v>13822712.842812894</v>
      </c>
      <c r="Y31" s="44">
        <f t="shared" si="17"/>
        <v>13988092.293849703</v>
      </c>
      <c r="Z31" s="44">
        <f t="shared" si="17"/>
        <v>14155588.943030966</v>
      </c>
      <c r="AA31" s="44">
        <f t="shared" si="17"/>
        <v>14325231.006520459</v>
      </c>
      <c r="AB31" s="44">
        <f t="shared" si="17"/>
        <v>14497047.088771971</v>
      </c>
      <c r="AC31" s="44">
        <f t="shared" si="17"/>
        <v>14671066.188006461</v>
      </c>
      <c r="AD31" s="44">
        <f t="shared" si="17"/>
        <v>14847317.701767903</v>
      </c>
      <c r="AE31" s="44">
        <f t="shared" si="17"/>
        <v>15025831.432558976</v>
      </c>
      <c r="AF31" s="44">
        <f t="shared" si="17"/>
        <v>15206637.593557781</v>
      </c>
      <c r="AG31" s="44">
        <f t="shared" si="17"/>
        <v>15389766.814416701</v>
      </c>
      <c r="AH31" s="44">
        <f t="shared" si="17"/>
        <v>15575250.147144696</v>
      </c>
      <c r="AI31" s="44">
        <f t="shared" si="17"/>
        <v>15763119.072074134</v>
      </c>
      <c r="AJ31" s="44">
        <f t="shared" si="17"/>
        <v>15953405.503913525</v>
      </c>
      <c r="AK31" s="44">
        <f t="shared" si="17"/>
        <v>16146141.797887273</v>
      </c>
      <c r="AL31" s="44">
        <f t="shared" si="17"/>
        <v>16341360.755963795</v>
      </c>
      <c r="AM31" s="44">
        <f t="shared" si="17"/>
        <v>16539095.633173324</v>
      </c>
      <c r="AN31" s="44">
        <f t="shared" si="17"/>
        <v>16739380.144016556</v>
      </c>
      <c r="AO31" s="44">
        <f t="shared" si="17"/>
        <v>16942248.468965702</v>
      </c>
      <c r="AP31" s="44">
        <f t="shared" si="17"/>
        <v>17147735.26105902</v>
      </c>
      <c r="AQ31" s="5"/>
    </row>
    <row r="32" spans="1:43" x14ac:dyDescent="0.2">
      <c r="A32" s="14"/>
      <c r="B32" s="2" t="s">
        <v>48</v>
      </c>
      <c r="D32" s="16"/>
      <c r="E32" s="4"/>
      <c r="F32" s="51" t="s">
        <v>2</v>
      </c>
      <c r="G32" s="54">
        <v>4.8000000000000001E-2</v>
      </c>
      <c r="H32" s="44">
        <v>0</v>
      </c>
      <c r="I32" s="44">
        <v>0</v>
      </c>
      <c r="J32" s="44">
        <v>0</v>
      </c>
      <c r="K32" s="44">
        <f t="shared" ref="K32:AP32" si="18">$G$32*K5</f>
        <v>18965249.370231647</v>
      </c>
      <c r="L32" s="44">
        <f t="shared" si="18"/>
        <v>19189659.571839482</v>
      </c>
      <c r="M32" s="44">
        <f t="shared" si="18"/>
        <v>19416923.160230637</v>
      </c>
      <c r="N32" s="44">
        <f t="shared" si="18"/>
        <v>19647077.948194355</v>
      </c>
      <c r="O32" s="44">
        <f t="shared" si="18"/>
        <v>19880162.266529843</v>
      </c>
      <c r="P32" s="44">
        <f t="shared" si="18"/>
        <v>20116214.971328095</v>
      </c>
      <c r="Q32" s="44">
        <f t="shared" si="18"/>
        <v>20355275.451358072</v>
      </c>
      <c r="R32" s="44">
        <f t="shared" si="18"/>
        <v>20597383.635558754</v>
      </c>
      <c r="S32" s="44">
        <f t="shared" si="18"/>
        <v>20842580.000638649</v>
      </c>
      <c r="T32" s="44">
        <f t="shared" si="18"/>
        <v>21090905.57878422</v>
      </c>
      <c r="U32" s="44">
        <f t="shared" si="18"/>
        <v>21342401.965478927</v>
      </c>
      <c r="V32" s="44">
        <f t="shared" si="18"/>
        <v>21597111.327434409</v>
      </c>
      <c r="W32" s="44">
        <f t="shared" si="18"/>
        <v>21855076.410635486</v>
      </c>
      <c r="X32" s="44">
        <f t="shared" si="18"/>
        <v>22116340.548500631</v>
      </c>
      <c r="Y32" s="44">
        <f t="shared" si="18"/>
        <v>22380947.670159526</v>
      </c>
      <c r="Z32" s="44">
        <f t="shared" si="18"/>
        <v>22648942.308849547</v>
      </c>
      <c r="AA32" s="44">
        <f t="shared" si="18"/>
        <v>22920369.610432737</v>
      </c>
      <c r="AB32" s="44">
        <f t="shared" si="18"/>
        <v>23195275.342035156</v>
      </c>
      <c r="AC32" s="44">
        <f t="shared" si="18"/>
        <v>23473705.900810339</v>
      </c>
      <c r="AD32" s="44">
        <f t="shared" si="18"/>
        <v>23755708.322828647</v>
      </c>
      <c r="AE32" s="44">
        <f t="shared" si="18"/>
        <v>24041330.292094361</v>
      </c>
      <c r="AF32" s="44">
        <f t="shared" si="18"/>
        <v>24330620.14969245</v>
      </c>
      <c r="AG32" s="44">
        <f t="shared" si="18"/>
        <v>24623626.903066725</v>
      </c>
      <c r="AH32" s="44">
        <f t="shared" si="18"/>
        <v>24920400.235431515</v>
      </c>
      <c r="AI32" s="44">
        <f t="shared" si="18"/>
        <v>25220990.515318613</v>
      </c>
      <c r="AJ32" s="44">
        <f t="shared" si="18"/>
        <v>25525448.806261644</v>
      </c>
      <c r="AK32" s="44">
        <f t="shared" si="18"/>
        <v>25833826.876619637</v>
      </c>
      <c r="AL32" s="44">
        <f t="shared" si="18"/>
        <v>26146177.209542073</v>
      </c>
      <c r="AM32" s="44">
        <f t="shared" si="18"/>
        <v>26462553.013077319</v>
      </c>
      <c r="AN32" s="44">
        <f t="shared" si="18"/>
        <v>26783008.230426494</v>
      </c>
      <c r="AO32" s="44">
        <f t="shared" si="18"/>
        <v>27107597.550345127</v>
      </c>
      <c r="AP32" s="44">
        <f t="shared" si="18"/>
        <v>27436376.417694431</v>
      </c>
      <c r="AQ32" s="5"/>
    </row>
    <row r="33" spans="1:43" x14ac:dyDescent="0.2">
      <c r="A33" s="14"/>
      <c r="B33" s="2" t="s">
        <v>8</v>
      </c>
      <c r="C33" s="71">
        <f>C5/C4</f>
        <v>0.47098066721833171</v>
      </c>
      <c r="D33" s="16"/>
      <c r="E33" s="4"/>
      <c r="F33" s="51" t="s">
        <v>3</v>
      </c>
      <c r="G33" s="54">
        <v>2.8799999999999999E-2</v>
      </c>
      <c r="H33" s="44">
        <f>$G$33*H5</f>
        <v>2198050.0289674047</v>
      </c>
      <c r="I33" s="44">
        <f t="shared" ref="I33:AP33" si="19">$G$33*I5</f>
        <v>5949657.5291111106</v>
      </c>
      <c r="J33" s="44">
        <f t="shared" si="19"/>
        <v>8551751.0601318758</v>
      </c>
      <c r="K33" s="44">
        <f t="shared" si="19"/>
        <v>11379149.622138988</v>
      </c>
      <c r="L33" s="44">
        <f t="shared" si="19"/>
        <v>11513795.743103689</v>
      </c>
      <c r="M33" s="44">
        <f t="shared" si="19"/>
        <v>11650153.896138381</v>
      </c>
      <c r="N33" s="44">
        <f t="shared" si="19"/>
        <v>11788246.768916611</v>
      </c>
      <c r="O33" s="44">
        <f t="shared" si="19"/>
        <v>11928097.359917905</v>
      </c>
      <c r="P33" s="44">
        <f t="shared" si="19"/>
        <v>12069728.982796857</v>
      </c>
      <c r="Q33" s="44">
        <f t="shared" si="19"/>
        <v>12213165.270814842</v>
      </c>
      <c r="R33" s="44">
        <f t="shared" si="19"/>
        <v>12358430.181335252</v>
      </c>
      <c r="S33" s="44">
        <f t="shared" si="19"/>
        <v>12505548.000383189</v>
      </c>
      <c r="T33" s="44">
        <f t="shared" si="19"/>
        <v>12654543.347270532</v>
      </c>
      <c r="U33" s="44">
        <f t="shared" si="19"/>
        <v>12805441.179287355</v>
      </c>
      <c r="V33" s="44">
        <f t="shared" si="19"/>
        <v>12958266.796460645</v>
      </c>
      <c r="W33" s="44">
        <f t="shared" si="19"/>
        <v>13113045.846381292</v>
      </c>
      <c r="X33" s="44">
        <f t="shared" si="19"/>
        <v>13269804.329100378</v>
      </c>
      <c r="Y33" s="44">
        <f t="shared" si="19"/>
        <v>13428568.602095714</v>
      </c>
      <c r="Z33" s="44">
        <f t="shared" si="19"/>
        <v>13589365.385309728</v>
      </c>
      <c r="AA33" s="44">
        <f t="shared" si="19"/>
        <v>13752221.76625964</v>
      </c>
      <c r="AB33" s="44">
        <f t="shared" si="19"/>
        <v>13917165.205221092</v>
      </c>
      <c r="AC33" s="44">
        <f t="shared" si="19"/>
        <v>14084223.540486202</v>
      </c>
      <c r="AD33" s="44">
        <f t="shared" si="19"/>
        <v>14253424.993697187</v>
      </c>
      <c r="AE33" s="44">
        <f t="shared" si="19"/>
        <v>14424798.175256617</v>
      </c>
      <c r="AF33" s="44">
        <f t="shared" si="19"/>
        <v>14598372.089815469</v>
      </c>
      <c r="AG33" s="44">
        <f t="shared" si="19"/>
        <v>14774176.141840033</v>
      </c>
      <c r="AH33" s="44">
        <f t="shared" si="19"/>
        <v>14952240.141258907</v>
      </c>
      <c r="AI33" s="44">
        <f t="shared" si="19"/>
        <v>15132594.309191167</v>
      </c>
      <c r="AJ33" s="44">
        <f t="shared" si="19"/>
        <v>15315269.283756984</v>
      </c>
      <c r="AK33" s="44">
        <f t="shared" si="19"/>
        <v>15500296.125971781</v>
      </c>
      <c r="AL33" s="44">
        <f t="shared" si="19"/>
        <v>15687706.325725242</v>
      </c>
      <c r="AM33" s="44">
        <f t="shared" si="19"/>
        <v>15877531.80784639</v>
      </c>
      <c r="AN33" s="44">
        <f t="shared" si="19"/>
        <v>16069804.938255895</v>
      </c>
      <c r="AO33" s="44">
        <f t="shared" si="19"/>
        <v>16264558.530207075</v>
      </c>
      <c r="AP33" s="44">
        <f t="shared" si="19"/>
        <v>16461825.850616658</v>
      </c>
      <c r="AQ33" s="5"/>
    </row>
    <row r="34" spans="1:43" x14ac:dyDescent="0.2">
      <c r="A34" s="14"/>
      <c r="B34" s="2" t="s">
        <v>49</v>
      </c>
      <c r="C34" s="71">
        <f>C6/C4</f>
        <v>0.52901933278166835</v>
      </c>
      <c r="D34" s="16"/>
      <c r="E34" s="4"/>
      <c r="F34" s="51" t="s">
        <v>4</v>
      </c>
      <c r="G34" s="55">
        <v>0.02</v>
      </c>
      <c r="H34" s="44">
        <f>$G$34*H5</f>
        <v>1526423.6312273645</v>
      </c>
      <c r="I34" s="44">
        <f t="shared" ref="I34:AP34" si="20">$G$34*I5</f>
        <v>4131706.6174382712</v>
      </c>
      <c r="J34" s="44">
        <f t="shared" si="20"/>
        <v>5938716.0139804697</v>
      </c>
      <c r="K34" s="44">
        <f t="shared" si="20"/>
        <v>7902187.2375965202</v>
      </c>
      <c r="L34" s="44">
        <f t="shared" si="20"/>
        <v>7995691.4882664504</v>
      </c>
      <c r="M34" s="44">
        <f t="shared" si="20"/>
        <v>8090384.650096098</v>
      </c>
      <c r="N34" s="44">
        <f t="shared" si="20"/>
        <v>8186282.4784143139</v>
      </c>
      <c r="O34" s="44">
        <f t="shared" si="20"/>
        <v>8283400.944387435</v>
      </c>
      <c r="P34" s="44">
        <f t="shared" si="20"/>
        <v>8381756.2380533731</v>
      </c>
      <c r="Q34" s="44">
        <f t="shared" si="20"/>
        <v>8481364.7713991962</v>
      </c>
      <c r="R34" s="44">
        <f t="shared" si="20"/>
        <v>8582243.1814828143</v>
      </c>
      <c r="S34" s="44">
        <f t="shared" si="20"/>
        <v>8684408.333599437</v>
      </c>
      <c r="T34" s="44">
        <f t="shared" si="20"/>
        <v>8787877.324493425</v>
      </c>
      <c r="U34" s="44">
        <f t="shared" si="20"/>
        <v>8892667.4856162183</v>
      </c>
      <c r="V34" s="44">
        <f t="shared" si="20"/>
        <v>8998796.3864310049</v>
      </c>
      <c r="W34" s="44">
        <f t="shared" si="20"/>
        <v>9106281.8377647866</v>
      </c>
      <c r="X34" s="44">
        <f t="shared" si="20"/>
        <v>9215141.8952085953</v>
      </c>
      <c r="Y34" s="44">
        <f t="shared" si="20"/>
        <v>9325394.8625664692</v>
      </c>
      <c r="Z34" s="44">
        <f t="shared" si="20"/>
        <v>9437059.295353977</v>
      </c>
      <c r="AA34" s="44">
        <f t="shared" si="20"/>
        <v>9550154.0043469723</v>
      </c>
      <c r="AB34" s="44">
        <f t="shared" si="20"/>
        <v>9664698.0591813158</v>
      </c>
      <c r="AC34" s="44">
        <f t="shared" si="20"/>
        <v>9780710.7920043077</v>
      </c>
      <c r="AD34" s="44">
        <f t="shared" si="20"/>
        <v>9898211.8011786025</v>
      </c>
      <c r="AE34" s="44">
        <f t="shared" si="20"/>
        <v>10017220.955039319</v>
      </c>
      <c r="AF34" s="44">
        <f t="shared" si="20"/>
        <v>10137758.395705188</v>
      </c>
      <c r="AG34" s="44">
        <f t="shared" si="20"/>
        <v>10259844.542944469</v>
      </c>
      <c r="AH34" s="44">
        <f t="shared" si="20"/>
        <v>10383500.098096464</v>
      </c>
      <c r="AI34" s="44">
        <f t="shared" si="20"/>
        <v>10508746.048049422</v>
      </c>
      <c r="AJ34" s="44">
        <f t="shared" si="20"/>
        <v>10635603.669275684</v>
      </c>
      <c r="AK34" s="44">
        <f t="shared" si="20"/>
        <v>10764094.531924849</v>
      </c>
      <c r="AL34" s="44">
        <f t="shared" si="20"/>
        <v>10894240.503975864</v>
      </c>
      <c r="AM34" s="44">
        <f t="shared" si="20"/>
        <v>11026063.755448883</v>
      </c>
      <c r="AN34" s="44">
        <f t="shared" si="20"/>
        <v>11159586.762677705</v>
      </c>
      <c r="AO34" s="44">
        <f t="shared" si="20"/>
        <v>11294832.312643802</v>
      </c>
      <c r="AP34" s="44">
        <f t="shared" si="20"/>
        <v>11431823.507372679</v>
      </c>
      <c r="AQ34" s="5"/>
    </row>
    <row r="35" spans="1:43" s="8" customFormat="1" x14ac:dyDescent="0.2">
      <c r="A35" s="14"/>
      <c r="C35" s="26"/>
      <c r="D35" s="16"/>
      <c r="E35" s="6"/>
      <c r="F35" s="51"/>
      <c r="G35" s="56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  <c r="W35" s="44"/>
      <c r="X35" s="44"/>
      <c r="Y35" s="44"/>
      <c r="Z35" s="44"/>
      <c r="AA35" s="44"/>
      <c r="AB35" s="44"/>
      <c r="AC35" s="44"/>
      <c r="AD35" s="44"/>
      <c r="AE35" s="44"/>
      <c r="AF35" s="44"/>
      <c r="AG35" s="44"/>
      <c r="AH35" s="44"/>
      <c r="AI35" s="44"/>
      <c r="AJ35" s="44"/>
      <c r="AK35" s="44"/>
      <c r="AL35" s="44"/>
      <c r="AM35" s="44"/>
      <c r="AN35" s="44"/>
      <c r="AO35" s="44"/>
      <c r="AP35" s="44"/>
      <c r="AQ35" s="7"/>
    </row>
    <row r="36" spans="1:43" x14ac:dyDescent="0.2">
      <c r="A36" s="14"/>
      <c r="D36" s="16"/>
      <c r="E36" s="4"/>
      <c r="F36" s="47"/>
      <c r="G36" s="57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43"/>
      <c r="AD36" s="43"/>
      <c r="AE36" s="43"/>
      <c r="AF36" s="43"/>
      <c r="AG36" s="43"/>
      <c r="AH36" s="43"/>
      <c r="AI36" s="43"/>
      <c r="AJ36" s="43"/>
      <c r="AK36" s="43"/>
      <c r="AL36" s="43"/>
      <c r="AM36" s="43"/>
      <c r="AN36" s="43"/>
      <c r="AO36" s="43"/>
      <c r="AP36" s="43"/>
      <c r="AQ36" s="5"/>
    </row>
    <row r="37" spans="1:43" ht="13.5" hidden="1" thickBot="1" x14ac:dyDescent="0.25">
      <c r="A37" s="20"/>
      <c r="D37" s="21"/>
      <c r="E37" s="4"/>
      <c r="F37" s="45" t="s">
        <v>6</v>
      </c>
      <c r="G37" s="58">
        <f>G14*-1</f>
        <v>-495158778.63046497</v>
      </c>
      <c r="H37" s="59">
        <f>H5-H14</f>
        <v>-790683244.76545227</v>
      </c>
      <c r="I37" s="59">
        <f t="shared" ref="I37:AP37" si="21">I5-I14</f>
        <v>-462701008.28589356</v>
      </c>
      <c r="J37" s="59">
        <f t="shared" si="21"/>
        <v>-452336510.09143591</v>
      </c>
      <c r="K37" s="59">
        <f t="shared" si="21"/>
        <v>152362322.47715539</v>
      </c>
      <c r="L37" s="59">
        <f t="shared" si="21"/>
        <v>149229190.70300186</v>
      </c>
      <c r="M37" s="59">
        <f t="shared" si="21"/>
        <v>156371811.16509911</v>
      </c>
      <c r="N37" s="59">
        <f t="shared" si="21"/>
        <v>158411503.04528663</v>
      </c>
      <c r="O37" s="59">
        <f t="shared" si="21"/>
        <v>160474600.64561537</v>
      </c>
      <c r="P37" s="59">
        <f t="shared" si="21"/>
        <v>162561171.40925539</v>
      </c>
      <c r="Q37" s="59">
        <f t="shared" si="21"/>
        <v>159415570.84275413</v>
      </c>
      <c r="R37" s="59">
        <f t="shared" si="21"/>
        <v>166804945.10009012</v>
      </c>
      <c r="S37" s="59">
        <f t="shared" si="21"/>
        <v>168962223.62831438</v>
      </c>
      <c r="T37" s="59">
        <f t="shared" si="21"/>
        <v>171143124.98028108</v>
      </c>
      <c r="U37" s="59">
        <f t="shared" si="21"/>
        <v>173347652.68561828</v>
      </c>
      <c r="V37" s="59">
        <f t="shared" si="21"/>
        <v>170187381.35449243</v>
      </c>
      <c r="W37" s="59">
        <f t="shared" si="21"/>
        <v>177827524.20645183</v>
      </c>
      <c r="X37" s="59">
        <f t="shared" si="21"/>
        <v>180102795.23585099</v>
      </c>
      <c r="Y37" s="59">
        <f t="shared" si="21"/>
        <v>182401545.08972359</v>
      </c>
      <c r="Z37" s="59">
        <f t="shared" si="21"/>
        <v>184723691.57805783</v>
      </c>
      <c r="AA37" s="59">
        <f t="shared" si="21"/>
        <v>181544654.37505215</v>
      </c>
      <c r="AB37" s="59">
        <f t="shared" si="21"/>
        <v>189437743.29497248</v>
      </c>
      <c r="AC37" s="59">
        <f t="shared" si="21"/>
        <v>191829378.22350389</v>
      </c>
      <c r="AD37" s="59">
        <f t="shared" si="21"/>
        <v>194243866.70972246</v>
      </c>
      <c r="AE37" s="59">
        <f t="shared" si="21"/>
        <v>196681013.20834595</v>
      </c>
      <c r="AF37" s="59">
        <f t="shared" si="21"/>
        <v>193476617.69864899</v>
      </c>
      <c r="AG37" s="59">
        <f t="shared" si="21"/>
        <v>201622363.60361844</v>
      </c>
      <c r="AH37" s="59">
        <f t="shared" si="21"/>
        <v>204126037.50816542</v>
      </c>
      <c r="AI37" s="59">
        <f t="shared" si="21"/>
        <v>206651306.31333184</v>
      </c>
      <c r="AJ37" s="59">
        <f t="shared" si="21"/>
        <v>209197826.18304366</v>
      </c>
      <c r="AK37" s="59">
        <f t="shared" si="21"/>
        <v>205958218.24952734</v>
      </c>
      <c r="AL37" s="59">
        <f t="shared" si="21"/>
        <v>214353068.84706986</v>
      </c>
      <c r="AM37" s="59">
        <f t="shared" si="21"/>
        <v>216960923.44174284</v>
      </c>
      <c r="AN37" s="59">
        <f t="shared" si="21"/>
        <v>219588288.75980145</v>
      </c>
      <c r="AO37" s="59">
        <f t="shared" si="21"/>
        <v>222234628.60392886</v>
      </c>
      <c r="AP37" s="59">
        <f t="shared" si="21"/>
        <v>218945727.6051324</v>
      </c>
      <c r="AQ37" s="5"/>
    </row>
    <row r="38" spans="1:43" x14ac:dyDescent="0.2">
      <c r="A38" s="19"/>
      <c r="D38" s="19"/>
      <c r="E38" s="4"/>
      <c r="F38" s="45" t="s">
        <v>37</v>
      </c>
      <c r="G38" s="58">
        <f>G5-G14</f>
        <v>-495158778.63046497</v>
      </c>
      <c r="H38" s="58">
        <f t="shared" ref="H38:AP38" si="22">H5-H14</f>
        <v>-790683244.76545227</v>
      </c>
      <c r="I38" s="58">
        <f t="shared" si="22"/>
        <v>-462701008.28589356</v>
      </c>
      <c r="J38" s="58">
        <f t="shared" si="22"/>
        <v>-452336510.09143591</v>
      </c>
      <c r="K38" s="58">
        <f t="shared" si="22"/>
        <v>152362322.47715539</v>
      </c>
      <c r="L38" s="58">
        <f t="shared" si="22"/>
        <v>149229190.70300186</v>
      </c>
      <c r="M38" s="58">
        <f t="shared" si="22"/>
        <v>156371811.16509911</v>
      </c>
      <c r="N38" s="58">
        <f t="shared" si="22"/>
        <v>158411503.04528663</v>
      </c>
      <c r="O38" s="58">
        <f t="shared" si="22"/>
        <v>160474600.64561537</v>
      </c>
      <c r="P38" s="58">
        <f t="shared" si="22"/>
        <v>162561171.40925539</v>
      </c>
      <c r="Q38" s="58">
        <f t="shared" si="22"/>
        <v>159415570.84275413</v>
      </c>
      <c r="R38" s="58">
        <f t="shared" si="22"/>
        <v>166804945.10009012</v>
      </c>
      <c r="S38" s="58">
        <f t="shared" si="22"/>
        <v>168962223.62831438</v>
      </c>
      <c r="T38" s="58">
        <f t="shared" si="22"/>
        <v>171143124.98028108</v>
      </c>
      <c r="U38" s="58">
        <f t="shared" si="22"/>
        <v>173347652.68561828</v>
      </c>
      <c r="V38" s="58">
        <f t="shared" si="22"/>
        <v>170187381.35449243</v>
      </c>
      <c r="W38" s="58">
        <f t="shared" si="22"/>
        <v>177827524.20645183</v>
      </c>
      <c r="X38" s="58">
        <f t="shared" si="22"/>
        <v>180102795.23585099</v>
      </c>
      <c r="Y38" s="58">
        <f t="shared" si="22"/>
        <v>182401545.08972359</v>
      </c>
      <c r="Z38" s="58">
        <f t="shared" si="22"/>
        <v>184723691.57805783</v>
      </c>
      <c r="AA38" s="58">
        <f t="shared" si="22"/>
        <v>181544654.37505215</v>
      </c>
      <c r="AB38" s="58">
        <f t="shared" si="22"/>
        <v>189437743.29497248</v>
      </c>
      <c r="AC38" s="58">
        <f t="shared" si="22"/>
        <v>191829378.22350389</v>
      </c>
      <c r="AD38" s="58">
        <f t="shared" si="22"/>
        <v>194243866.70972246</v>
      </c>
      <c r="AE38" s="58">
        <f t="shared" si="22"/>
        <v>196681013.20834595</v>
      </c>
      <c r="AF38" s="58">
        <f t="shared" si="22"/>
        <v>193476617.69864899</v>
      </c>
      <c r="AG38" s="58">
        <f t="shared" si="22"/>
        <v>201622363.60361844</v>
      </c>
      <c r="AH38" s="58">
        <f t="shared" si="22"/>
        <v>204126037.50816542</v>
      </c>
      <c r="AI38" s="58">
        <f t="shared" si="22"/>
        <v>206651306.31333184</v>
      </c>
      <c r="AJ38" s="58">
        <f t="shared" si="22"/>
        <v>209197826.18304366</v>
      </c>
      <c r="AK38" s="58">
        <f t="shared" si="22"/>
        <v>205958218.24952734</v>
      </c>
      <c r="AL38" s="58">
        <f t="shared" si="22"/>
        <v>214353068.84706986</v>
      </c>
      <c r="AM38" s="58">
        <f t="shared" si="22"/>
        <v>216960923.44174284</v>
      </c>
      <c r="AN38" s="58">
        <f t="shared" si="22"/>
        <v>219588288.75980145</v>
      </c>
      <c r="AO38" s="58">
        <f t="shared" si="22"/>
        <v>222234628.60392886</v>
      </c>
      <c r="AP38" s="58">
        <f t="shared" si="22"/>
        <v>218945727.6051324</v>
      </c>
      <c r="AQ38" s="5"/>
    </row>
    <row r="39" spans="1:43" x14ac:dyDescent="0.2">
      <c r="A39" s="19"/>
      <c r="D39" s="19"/>
      <c r="E39" s="4"/>
      <c r="F39" s="45" t="s">
        <v>38</v>
      </c>
      <c r="G39" s="58">
        <f>G37</f>
        <v>-495158778.63046497</v>
      </c>
      <c r="H39" s="59">
        <f t="shared" ref="H39:AP39" si="23">G39+H37</f>
        <v>-1285842023.3959172</v>
      </c>
      <c r="I39" s="59">
        <f t="shared" si="23"/>
        <v>-1748543031.6818109</v>
      </c>
      <c r="J39" s="59">
        <f t="shared" si="23"/>
        <v>-2200879541.7732468</v>
      </c>
      <c r="K39" s="59">
        <f t="shared" si="23"/>
        <v>-2048517219.2960913</v>
      </c>
      <c r="L39" s="59">
        <f t="shared" si="23"/>
        <v>-1899288028.5930896</v>
      </c>
      <c r="M39" s="59">
        <f t="shared" si="23"/>
        <v>-1742916217.4279904</v>
      </c>
      <c r="N39" s="59">
        <f t="shared" si="23"/>
        <v>-1584504714.3827038</v>
      </c>
      <c r="O39" s="59">
        <f t="shared" si="23"/>
        <v>-1424030113.7370884</v>
      </c>
      <c r="P39" s="59">
        <f t="shared" si="23"/>
        <v>-1261468942.3278332</v>
      </c>
      <c r="Q39" s="59">
        <f t="shared" si="23"/>
        <v>-1102053371.4850791</v>
      </c>
      <c r="R39" s="59">
        <f t="shared" si="23"/>
        <v>-935248426.3849889</v>
      </c>
      <c r="S39" s="59">
        <f t="shared" si="23"/>
        <v>-766286202.75667453</v>
      </c>
      <c r="T39" s="59">
        <f t="shared" si="23"/>
        <v>-595143077.77639341</v>
      </c>
      <c r="U39" s="59">
        <f t="shared" si="23"/>
        <v>-421795425.09077513</v>
      </c>
      <c r="V39" s="59">
        <f t="shared" si="23"/>
        <v>-251608043.73628271</v>
      </c>
      <c r="W39" s="59">
        <f t="shared" si="23"/>
        <v>-73780519.529830873</v>
      </c>
      <c r="X39" s="59">
        <f t="shared" si="23"/>
        <v>106322275.70602012</v>
      </c>
      <c r="Y39" s="59">
        <f t="shared" si="23"/>
        <v>288723820.7957437</v>
      </c>
      <c r="Z39" s="59">
        <f t="shared" si="23"/>
        <v>473447512.37380153</v>
      </c>
      <c r="AA39" s="59">
        <f t="shared" si="23"/>
        <v>654992166.74885368</v>
      </c>
      <c r="AB39" s="59">
        <f t="shared" si="23"/>
        <v>844429910.0438261</v>
      </c>
      <c r="AC39" s="59">
        <f t="shared" si="23"/>
        <v>1036259288.2673299</v>
      </c>
      <c r="AD39" s="59">
        <f t="shared" si="23"/>
        <v>1230503154.9770525</v>
      </c>
      <c r="AE39" s="59">
        <f t="shared" si="23"/>
        <v>1427184168.1853983</v>
      </c>
      <c r="AF39" s="59">
        <f t="shared" si="23"/>
        <v>1620660785.8840473</v>
      </c>
      <c r="AG39" s="59">
        <f t="shared" si="23"/>
        <v>1822283149.4876657</v>
      </c>
      <c r="AH39" s="59">
        <f t="shared" si="23"/>
        <v>2026409186.995831</v>
      </c>
      <c r="AI39" s="59">
        <f t="shared" si="23"/>
        <v>2233060493.3091631</v>
      </c>
      <c r="AJ39" s="59">
        <f t="shared" si="23"/>
        <v>2442258319.4922066</v>
      </c>
      <c r="AK39" s="59">
        <f t="shared" si="23"/>
        <v>2648216537.741734</v>
      </c>
      <c r="AL39" s="59">
        <f t="shared" si="23"/>
        <v>2862569606.5888038</v>
      </c>
      <c r="AM39" s="59">
        <f t="shared" si="23"/>
        <v>3079530530.0305467</v>
      </c>
      <c r="AN39" s="59">
        <f t="shared" si="23"/>
        <v>3299118818.7903481</v>
      </c>
      <c r="AO39" s="59">
        <f t="shared" si="23"/>
        <v>3521353447.3942771</v>
      </c>
      <c r="AP39" s="59">
        <f t="shared" si="23"/>
        <v>3740299174.9994097</v>
      </c>
    </row>
    <row r="40" spans="1:43" ht="13.5" thickBot="1" x14ac:dyDescent="0.25">
      <c r="E40" s="4"/>
      <c r="F40" s="60"/>
      <c r="G40" s="61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2"/>
      <c r="AE40" s="62"/>
      <c r="AF40" s="62"/>
      <c r="AG40" s="62"/>
      <c r="AH40" s="62"/>
      <c r="AI40" s="62"/>
      <c r="AJ40" s="62"/>
      <c r="AK40" s="62"/>
      <c r="AL40" s="62"/>
      <c r="AM40" s="62"/>
      <c r="AN40" s="62"/>
      <c r="AO40" s="62"/>
      <c r="AP40" s="62"/>
      <c r="AQ40" s="5"/>
    </row>
    <row r="41" spans="1:43" x14ac:dyDescent="0.2">
      <c r="B41"/>
      <c r="E41" s="4"/>
      <c r="AQ41" s="5"/>
    </row>
    <row r="42" spans="1:43" s="8" customFormat="1" x14ac:dyDescent="0.2">
      <c r="A42" s="2"/>
      <c r="B42"/>
      <c r="C42" s="26"/>
      <c r="D42" s="2"/>
      <c r="E42" s="6"/>
      <c r="F42" s="37"/>
      <c r="G42" s="63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7"/>
    </row>
    <row r="43" spans="1:43" x14ac:dyDescent="0.2">
      <c r="B43"/>
      <c r="E43" s="4"/>
      <c r="G43" s="38"/>
      <c r="AN43" s="64"/>
      <c r="AO43" s="37"/>
      <c r="AP43" s="37"/>
    </row>
    <row r="44" spans="1:43" x14ac:dyDescent="0.2">
      <c r="B44"/>
      <c r="E44" s="4"/>
      <c r="G44" s="38">
        <f>G21*-1</f>
        <v>-232984141.1553441</v>
      </c>
      <c r="H44" s="38">
        <v>0</v>
      </c>
      <c r="I44" s="38">
        <v>0</v>
      </c>
      <c r="J44" s="38">
        <v>0</v>
      </c>
      <c r="K44" s="38">
        <f>K38*0</f>
        <v>0</v>
      </c>
      <c r="L44" s="38">
        <f t="shared" ref="L44:AP44" si="24">L38*0</f>
        <v>0</v>
      </c>
      <c r="M44" s="38">
        <f t="shared" si="24"/>
        <v>0</v>
      </c>
      <c r="N44" s="38">
        <f t="shared" si="24"/>
        <v>0</v>
      </c>
      <c r="O44" s="38">
        <f t="shared" si="24"/>
        <v>0</v>
      </c>
      <c r="P44" s="38">
        <f t="shared" si="24"/>
        <v>0</v>
      </c>
      <c r="Q44" s="38">
        <f t="shared" si="24"/>
        <v>0</v>
      </c>
      <c r="R44" s="38">
        <f t="shared" si="24"/>
        <v>0</v>
      </c>
      <c r="S44" s="38">
        <f t="shared" si="24"/>
        <v>0</v>
      </c>
      <c r="T44" s="38">
        <f t="shared" si="24"/>
        <v>0</v>
      </c>
      <c r="U44" s="38">
        <f t="shared" si="24"/>
        <v>0</v>
      </c>
      <c r="V44" s="38">
        <f t="shared" si="24"/>
        <v>0</v>
      </c>
      <c r="W44" s="38">
        <f t="shared" si="24"/>
        <v>0</v>
      </c>
      <c r="X44" s="38">
        <f t="shared" si="24"/>
        <v>0</v>
      </c>
      <c r="Y44" s="38">
        <f t="shared" si="24"/>
        <v>0</v>
      </c>
      <c r="Z44" s="38">
        <f t="shared" si="24"/>
        <v>0</v>
      </c>
      <c r="AA44" s="38">
        <f t="shared" si="24"/>
        <v>0</v>
      </c>
      <c r="AB44" s="38">
        <f t="shared" si="24"/>
        <v>0</v>
      </c>
      <c r="AC44" s="38">
        <f t="shared" si="24"/>
        <v>0</v>
      </c>
      <c r="AD44" s="38">
        <f t="shared" si="24"/>
        <v>0</v>
      </c>
      <c r="AE44" s="38">
        <f t="shared" si="24"/>
        <v>0</v>
      </c>
      <c r="AF44" s="38">
        <f t="shared" si="24"/>
        <v>0</v>
      </c>
      <c r="AG44" s="38">
        <f t="shared" si="24"/>
        <v>0</v>
      </c>
      <c r="AH44" s="38">
        <f t="shared" si="24"/>
        <v>0</v>
      </c>
      <c r="AI44" s="38">
        <f t="shared" si="24"/>
        <v>0</v>
      </c>
      <c r="AJ44" s="38">
        <f t="shared" si="24"/>
        <v>0</v>
      </c>
      <c r="AK44" s="38">
        <f t="shared" si="24"/>
        <v>0</v>
      </c>
      <c r="AL44" s="38">
        <f t="shared" si="24"/>
        <v>0</v>
      </c>
      <c r="AM44" s="38">
        <f t="shared" si="24"/>
        <v>0</v>
      </c>
      <c r="AN44" s="38">
        <f t="shared" si="24"/>
        <v>0</v>
      </c>
      <c r="AO44" s="38">
        <f t="shared" si="24"/>
        <v>0</v>
      </c>
      <c r="AP44" s="38">
        <f t="shared" si="24"/>
        <v>0</v>
      </c>
      <c r="AQ44" s="67">
        <f>AP38/0.0618-0.055</f>
        <v>3542811126.241641</v>
      </c>
    </row>
    <row r="45" spans="1:43" x14ac:dyDescent="0.2">
      <c r="E45" s="4"/>
      <c r="G45" s="38"/>
      <c r="AN45" s="64"/>
      <c r="AO45" s="37"/>
      <c r="AP45" s="37"/>
    </row>
    <row r="46" spans="1:43" x14ac:dyDescent="0.2">
      <c r="C46" s="36"/>
      <c r="E46" s="4"/>
      <c r="G46" s="38"/>
      <c r="AN46" s="64"/>
      <c r="AO46" s="37"/>
      <c r="AP46" s="37"/>
    </row>
    <row r="47" spans="1:43" s="8" customFormat="1" x14ac:dyDescent="0.2">
      <c r="A47" s="2"/>
      <c r="B47" s="2"/>
      <c r="C47" s="26"/>
      <c r="E47" s="6"/>
      <c r="F47" s="37"/>
      <c r="G47" s="38"/>
      <c r="H47" s="38"/>
      <c r="I47" s="38"/>
      <c r="J47" s="38"/>
      <c r="K47" s="38"/>
      <c r="L47" s="38"/>
      <c r="M47" s="38"/>
      <c r="N47" s="38"/>
      <c r="O47" s="38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65"/>
      <c r="AO47" s="66"/>
      <c r="AP47" s="66"/>
    </row>
    <row r="48" spans="1:43" x14ac:dyDescent="0.2">
      <c r="E48" s="4"/>
      <c r="G48" s="38"/>
      <c r="AN48" s="64"/>
      <c r="AO48" s="37"/>
      <c r="AP48" s="37"/>
    </row>
    <row r="49" spans="5:43" x14ac:dyDescent="0.2">
      <c r="E49" s="4"/>
      <c r="G49" s="38"/>
      <c r="AN49" s="64"/>
      <c r="AO49" s="37"/>
      <c r="AP49" s="37"/>
    </row>
    <row r="50" spans="5:43" x14ac:dyDescent="0.2">
      <c r="E50" s="4"/>
      <c r="G50" s="38"/>
      <c r="AN50" s="64"/>
      <c r="AO50" s="37"/>
      <c r="AP50" s="37"/>
    </row>
    <row r="51" spans="5:43" x14ac:dyDescent="0.2">
      <c r="E51" s="4"/>
      <c r="G51" s="44"/>
      <c r="H51" s="44"/>
      <c r="I51" s="44"/>
      <c r="J51" s="44"/>
      <c r="AQ51" s="4"/>
    </row>
    <row r="52" spans="5:43" x14ac:dyDescent="0.2">
      <c r="E52" s="4"/>
      <c r="G52" s="38"/>
      <c r="AQ52" s="4"/>
    </row>
    <row r="53" spans="5:43" x14ac:dyDescent="0.2">
      <c r="E53" s="4"/>
      <c r="G53" s="44"/>
      <c r="H53" s="44"/>
      <c r="I53" s="44"/>
      <c r="J53" s="44"/>
      <c r="AQ53" s="4"/>
    </row>
    <row r="54" spans="5:43" x14ac:dyDescent="0.2">
      <c r="E54" s="4"/>
      <c r="G54" s="44"/>
      <c r="H54" s="44"/>
      <c r="I54" s="44"/>
      <c r="J54" s="44"/>
      <c r="AQ54" s="4"/>
    </row>
    <row r="55" spans="5:43" x14ac:dyDescent="0.2">
      <c r="E55" s="4"/>
      <c r="G55" s="38"/>
      <c r="AQ55" s="4"/>
    </row>
    <row r="56" spans="5:43" x14ac:dyDescent="0.2">
      <c r="E56" s="4"/>
      <c r="AQ56" s="4"/>
    </row>
    <row r="57" spans="5:43" x14ac:dyDescent="0.2">
      <c r="F57" s="63"/>
      <c r="G57" s="38"/>
    </row>
    <row r="69" spans="1:4" x14ac:dyDescent="0.2">
      <c r="B69" s="23"/>
      <c r="C69" s="34"/>
    </row>
    <row r="70" spans="1:4" x14ac:dyDescent="0.2">
      <c r="B70" s="23"/>
      <c r="C70" s="34"/>
    </row>
    <row r="71" spans="1:4" x14ac:dyDescent="0.2">
      <c r="B71" s="23"/>
      <c r="C71" s="34"/>
    </row>
    <row r="72" spans="1:4" x14ac:dyDescent="0.2">
      <c r="B72" s="23"/>
      <c r="C72" s="34"/>
    </row>
    <row r="73" spans="1:4" x14ac:dyDescent="0.2">
      <c r="B73" s="23"/>
      <c r="C73" s="34"/>
    </row>
    <row r="74" spans="1:4" x14ac:dyDescent="0.2">
      <c r="B74" s="23"/>
      <c r="C74" s="34"/>
    </row>
    <row r="75" spans="1:4" x14ac:dyDescent="0.2">
      <c r="B75" s="23"/>
      <c r="C75" s="34"/>
    </row>
    <row r="76" spans="1:4" x14ac:dyDescent="0.2">
      <c r="B76" s="23"/>
      <c r="C76" s="34"/>
    </row>
    <row r="77" spans="1:4" x14ac:dyDescent="0.2">
      <c r="B77" s="23"/>
      <c r="C77" s="34"/>
    </row>
    <row r="78" spans="1:4" x14ac:dyDescent="0.2">
      <c r="B78" s="23"/>
      <c r="C78" s="34"/>
    </row>
    <row r="79" spans="1:4" x14ac:dyDescent="0.2">
      <c r="A79" s="23"/>
      <c r="B79" s="23"/>
      <c r="C79" s="34"/>
      <c r="D79" s="23"/>
    </row>
    <row r="80" spans="1:4" x14ac:dyDescent="0.2">
      <c r="A80" s="23"/>
      <c r="B80" s="23"/>
      <c r="C80" s="34"/>
      <c r="D80" s="23"/>
    </row>
    <row r="81" spans="1:4" x14ac:dyDescent="0.2">
      <c r="A81" s="23"/>
      <c r="B81" s="23"/>
      <c r="C81" s="34"/>
      <c r="D81" s="23"/>
    </row>
    <row r="82" spans="1:4" x14ac:dyDescent="0.2">
      <c r="A82" s="23"/>
      <c r="B82" s="23"/>
      <c r="C82" s="34"/>
      <c r="D82" s="23"/>
    </row>
    <row r="83" spans="1:4" x14ac:dyDescent="0.2">
      <c r="A83" s="23"/>
      <c r="B83" s="23"/>
      <c r="C83" s="34"/>
      <c r="D83" s="23"/>
    </row>
    <row r="84" spans="1:4" x14ac:dyDescent="0.2">
      <c r="A84" s="23"/>
      <c r="D84" s="23"/>
    </row>
    <row r="85" spans="1:4" x14ac:dyDescent="0.2">
      <c r="A85" s="23"/>
      <c r="D85" s="23"/>
    </row>
    <row r="86" spans="1:4" x14ac:dyDescent="0.2">
      <c r="A86" s="23"/>
      <c r="D86" s="23"/>
    </row>
    <row r="87" spans="1:4" x14ac:dyDescent="0.2">
      <c r="A87" s="23"/>
      <c r="D87" s="23"/>
    </row>
    <row r="88" spans="1:4" x14ac:dyDescent="0.2">
      <c r="A88" s="23"/>
      <c r="D88" s="23"/>
    </row>
    <row r="89" spans="1:4" x14ac:dyDescent="0.2">
      <c r="A89" s="23"/>
      <c r="D89" s="23"/>
    </row>
    <row r="90" spans="1:4" x14ac:dyDescent="0.2">
      <c r="A90" s="23"/>
      <c r="D90" s="23"/>
    </row>
    <row r="91" spans="1:4" x14ac:dyDescent="0.2">
      <c r="A91" s="23"/>
      <c r="D91" s="23"/>
    </row>
    <row r="92" spans="1:4" x14ac:dyDescent="0.2">
      <c r="A92" s="23"/>
      <c r="D92" s="23"/>
    </row>
    <row r="93" spans="1:4" x14ac:dyDescent="0.2">
      <c r="A93" s="23"/>
      <c r="D93" s="23"/>
    </row>
  </sheetData>
  <phoneticPr fontId="4" type="noConversion"/>
  <conditionalFormatting sqref="H37:AP37 H39:AP39">
    <cfRule type="cellIs" dxfId="0" priority="2" stopIfTrue="1" operator="lessThan">
      <formula>0</formula>
    </cfRule>
  </conditionalFormatting>
  <printOptions horizontalCentered="1" verticalCentered="1"/>
  <pageMargins left="0.39370078740157483" right="0.39370078740157483" top="0.78740157480314965" bottom="0.78740157480314965" header="0.51181102362204722" footer="0.51181102362204722"/>
  <pageSetup paperSize="9" scale="74" orientation="landscape" horizontalDpi="300" verticalDpi="300" r:id="rId1"/>
  <headerFooter alignWithMargins="0">
    <oddHeader>&amp;C&amp;"Arial,Negrito"&amp;12FUNDO SC&amp;R&amp;"Arial,Negrito"&amp;A</oddHeader>
    <oddFooter>&amp;CPágina &amp;P de &amp;N&amp;R&amp;D -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7"/>
  <sheetViews>
    <sheetView workbookViewId="0">
      <selection activeCell="E11" sqref="E11"/>
    </sheetView>
  </sheetViews>
  <sheetFormatPr defaultRowHeight="12.75" x14ac:dyDescent="0.2"/>
  <cols>
    <col min="1" max="1" width="9.7109375" style="9" customWidth="1"/>
    <col min="2" max="2" width="10.7109375" style="9" customWidth="1"/>
    <col min="3" max="3" width="21.140625" style="9" customWidth="1"/>
    <col min="4" max="4" width="2.42578125" style="10" customWidth="1"/>
    <col min="5" max="5" width="9.140625" style="9"/>
    <col min="6" max="6" width="12.7109375" style="9" customWidth="1"/>
    <col min="7" max="7" width="19.85546875" style="9" customWidth="1"/>
    <col min="8" max="8" width="2.28515625" style="9" customWidth="1"/>
    <col min="9" max="9" width="9.140625" style="9"/>
    <col min="10" max="10" width="12.5703125" style="9" customWidth="1"/>
    <col min="11" max="11" width="18.5703125" style="9" bestFit="1" customWidth="1"/>
    <col min="12" max="16384" width="9.140625" style="9"/>
  </cols>
  <sheetData>
    <row r="1" spans="1:11" ht="28.5" customHeight="1" x14ac:dyDescent="0.2">
      <c r="A1" s="84" t="s">
        <v>67</v>
      </c>
      <c r="B1" s="84"/>
      <c r="C1" s="84"/>
      <c r="D1" s="72"/>
      <c r="E1" s="84" t="s">
        <v>69</v>
      </c>
      <c r="F1" s="84"/>
      <c r="G1" s="84"/>
      <c r="H1" s="73"/>
      <c r="I1" s="84" t="s">
        <v>71</v>
      </c>
      <c r="J1" s="84"/>
      <c r="K1" s="84"/>
    </row>
    <row r="2" spans="1:11" ht="29.25" customHeight="1" x14ac:dyDescent="0.2">
      <c r="A2" s="85" t="s">
        <v>68</v>
      </c>
      <c r="B2" s="86"/>
      <c r="C2" s="87"/>
      <c r="D2" s="74"/>
      <c r="E2" s="85" t="s">
        <v>70</v>
      </c>
      <c r="F2" s="86"/>
      <c r="G2" s="87"/>
      <c r="H2" s="74"/>
      <c r="I2" s="85" t="s">
        <v>72</v>
      </c>
      <c r="J2" s="86"/>
      <c r="K2" s="87"/>
    </row>
    <row r="3" spans="1:11" ht="29.25" customHeight="1" x14ac:dyDescent="0.2">
      <c r="A3" s="88"/>
      <c r="B3" s="89"/>
      <c r="C3" s="90"/>
      <c r="D3" s="74"/>
      <c r="E3" s="88"/>
      <c r="F3" s="89"/>
      <c r="G3" s="90"/>
      <c r="H3" s="74"/>
      <c r="I3" s="88"/>
      <c r="J3" s="89"/>
      <c r="K3" s="90"/>
    </row>
    <row r="4" spans="1:11" ht="29.25" customHeight="1" x14ac:dyDescent="0.2">
      <c r="A4" s="83" t="s">
        <v>60</v>
      </c>
      <c r="B4" s="83"/>
      <c r="C4" s="75">
        <v>-602627142.73700488</v>
      </c>
      <c r="D4" s="73"/>
      <c r="E4" s="83" t="s">
        <v>60</v>
      </c>
      <c r="F4" s="83"/>
      <c r="G4" s="75">
        <v>-136633295.71217594</v>
      </c>
      <c r="H4" s="76"/>
      <c r="I4" s="83" t="s">
        <v>60</v>
      </c>
      <c r="J4" s="83"/>
      <c r="K4" s="75">
        <v>329360551.31265378</v>
      </c>
    </row>
    <row r="5" spans="1:11" ht="29.25" customHeight="1" x14ac:dyDescent="0.2">
      <c r="A5" s="83" t="s">
        <v>7</v>
      </c>
      <c r="B5" s="83"/>
      <c r="C5" s="77" t="s">
        <v>9</v>
      </c>
      <c r="D5" s="73"/>
      <c r="E5" s="83" t="s">
        <v>7</v>
      </c>
      <c r="F5" s="83"/>
      <c r="G5" s="77" t="s">
        <v>10</v>
      </c>
      <c r="H5" s="76"/>
      <c r="I5" s="83" t="s">
        <v>7</v>
      </c>
      <c r="J5" s="83"/>
      <c r="K5" s="77" t="s">
        <v>11</v>
      </c>
    </row>
    <row r="6" spans="1:11" ht="29.25" customHeight="1" x14ac:dyDescent="0.2">
      <c r="A6" s="83" t="s">
        <v>61</v>
      </c>
      <c r="B6" s="83"/>
      <c r="C6" s="78">
        <v>6.1235512342883602E-2</v>
      </c>
      <c r="D6" s="73"/>
      <c r="E6" s="83" t="s">
        <v>61</v>
      </c>
      <c r="F6" s="83"/>
      <c r="G6" s="78">
        <v>8.5395684307923103E-2</v>
      </c>
      <c r="H6" s="76"/>
      <c r="I6" s="83" t="s">
        <v>61</v>
      </c>
      <c r="J6" s="83"/>
      <c r="K6" s="78">
        <v>0.12694531618622107</v>
      </c>
    </row>
    <row r="7" spans="1:11" ht="29.25" customHeight="1" x14ac:dyDescent="0.2">
      <c r="A7" s="83" t="s">
        <v>63</v>
      </c>
      <c r="B7" s="83"/>
      <c r="C7" s="78">
        <v>0.1062355123428836</v>
      </c>
      <c r="D7" s="73"/>
      <c r="E7" s="83" t="s">
        <v>62</v>
      </c>
      <c r="F7" s="83"/>
      <c r="G7" s="78">
        <v>0.13039568430792309</v>
      </c>
      <c r="H7" s="76"/>
      <c r="I7" s="83" t="s">
        <v>63</v>
      </c>
      <c r="J7" s="83"/>
      <c r="K7" s="78">
        <v>0.17194531618622105</v>
      </c>
    </row>
    <row r="8" spans="1:11" ht="42.75" customHeight="1" x14ac:dyDescent="0.2">
      <c r="A8" s="83" t="s">
        <v>64</v>
      </c>
      <c r="B8" s="83"/>
      <c r="C8" s="79">
        <v>0.26650000000000001</v>
      </c>
      <c r="D8" s="73"/>
      <c r="E8" s="83" t="s">
        <v>64</v>
      </c>
      <c r="F8" s="83"/>
      <c r="G8" s="79">
        <v>7.5999999999999998E-2</v>
      </c>
      <c r="H8" s="73"/>
      <c r="I8" s="83" t="s">
        <v>64</v>
      </c>
      <c r="J8" s="83"/>
      <c r="K8" s="80">
        <v>0</v>
      </c>
    </row>
    <row r="9" spans="1:11" ht="39.75" customHeight="1" x14ac:dyDescent="0.2">
      <c r="A9" s="83" t="s">
        <v>65</v>
      </c>
      <c r="B9" s="83"/>
      <c r="C9" s="79">
        <v>0.1062</v>
      </c>
      <c r="D9" s="73"/>
      <c r="E9" s="83" t="s">
        <v>65</v>
      </c>
      <c r="F9" s="83"/>
      <c r="G9" s="79">
        <v>0.13039999999999999</v>
      </c>
      <c r="H9" s="73"/>
      <c r="I9" s="83" t="s">
        <v>65</v>
      </c>
      <c r="J9" s="83"/>
      <c r="K9" s="79">
        <v>0.14000000000000001</v>
      </c>
    </row>
    <row r="10" spans="1:11" ht="29.25" customHeight="1" x14ac:dyDescent="0.2">
      <c r="A10" s="83" t="s">
        <v>66</v>
      </c>
      <c r="B10" s="83"/>
      <c r="C10" s="81">
        <v>715674.40873090655</v>
      </c>
      <c r="D10" s="73"/>
      <c r="E10" s="83" t="s">
        <v>66</v>
      </c>
      <c r="F10" s="83"/>
      <c r="G10" s="81">
        <v>511746.04202190798</v>
      </c>
      <c r="H10" s="73"/>
      <c r="I10" s="83" t="s">
        <v>66</v>
      </c>
      <c r="J10" s="83"/>
      <c r="K10" s="75">
        <v>0</v>
      </c>
    </row>
    <row r="11" spans="1:11" ht="29.25" customHeight="1" x14ac:dyDescent="0.2">
      <c r="D11" s="9"/>
      <c r="F11" s="22"/>
      <c r="G11" s="22"/>
      <c r="H11" s="22"/>
    </row>
    <row r="12" spans="1:11" ht="29.25" customHeight="1" x14ac:dyDescent="0.2">
      <c r="D12" s="9"/>
      <c r="F12" s="22"/>
      <c r="G12" s="22"/>
      <c r="H12" s="22"/>
    </row>
    <row r="13" spans="1:11" ht="29.25" customHeight="1" x14ac:dyDescent="0.2">
      <c r="D13" s="9"/>
      <c r="F13" s="22"/>
      <c r="G13" s="22"/>
      <c r="H13" s="22"/>
    </row>
    <row r="14" spans="1:11" ht="41.25" customHeight="1" x14ac:dyDescent="0.2"/>
    <row r="15" spans="1:11" ht="41.25" customHeight="1" x14ac:dyDescent="0.2"/>
    <row r="16" spans="1:11" ht="12.75" customHeight="1" x14ac:dyDescent="0.2"/>
    <row r="18" ht="12.75" customHeight="1" x14ac:dyDescent="0.2"/>
    <row r="19" ht="12.75" customHeight="1" x14ac:dyDescent="0.2"/>
    <row r="20" ht="12.75" customHeight="1" x14ac:dyDescent="0.2"/>
    <row r="23" ht="12.75" customHeight="1" x14ac:dyDescent="0.2"/>
    <row r="25" ht="12.75" customHeight="1" x14ac:dyDescent="0.2"/>
    <row r="26" ht="12.75" customHeight="1" x14ac:dyDescent="0.2"/>
    <row r="27" ht="12.75" customHeight="1" x14ac:dyDescent="0.2"/>
  </sheetData>
  <mergeCells count="27">
    <mergeCell ref="E2:G3"/>
    <mergeCell ref="I2:K3"/>
    <mergeCell ref="A4:B4"/>
    <mergeCell ref="A5:B5"/>
    <mergeCell ref="E4:F4"/>
    <mergeCell ref="E5:F5"/>
    <mergeCell ref="E7:F7"/>
    <mergeCell ref="A1:C1"/>
    <mergeCell ref="E1:G1"/>
    <mergeCell ref="I1:K1"/>
    <mergeCell ref="A9:B9"/>
    <mergeCell ref="E6:F6"/>
    <mergeCell ref="I6:J6"/>
    <mergeCell ref="I8:J8"/>
    <mergeCell ref="A8:B8"/>
    <mergeCell ref="E8:F8"/>
    <mergeCell ref="A7:B7"/>
    <mergeCell ref="I7:J7"/>
    <mergeCell ref="I5:J5"/>
    <mergeCell ref="I4:J4"/>
    <mergeCell ref="A6:B6"/>
    <mergeCell ref="A2:C3"/>
    <mergeCell ref="A10:B10"/>
    <mergeCell ref="E9:F9"/>
    <mergeCell ref="E10:F10"/>
    <mergeCell ref="I9:J9"/>
    <mergeCell ref="I10:J10"/>
  </mergeCells>
  <phoneticPr fontId="4" type="noConversion"/>
  <pageMargins left="0.78740157499999996" right="0.78740157499999996" top="0.984251969" bottom="0.984251969" header="0.49212598499999999" footer="0.49212598499999999"/>
  <pageSetup paperSize="9" scale="7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2</vt:i4>
      </vt:variant>
    </vt:vector>
  </HeadingPairs>
  <TitlesOfParts>
    <vt:vector size="4" baseType="lpstr">
      <vt:lpstr>SPE</vt:lpstr>
      <vt:lpstr>Simulations</vt:lpstr>
      <vt:lpstr>Simulations!Area_de_impressao</vt:lpstr>
      <vt:lpstr>SPE!Area_de_impressao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Rossini Dias de Souza</cp:lastModifiedBy>
  <cp:lastPrinted>2013-03-11T14:53:05Z</cp:lastPrinted>
  <dcterms:created xsi:type="dcterms:W3CDTF">2007-06-12T12:42:16Z</dcterms:created>
  <dcterms:modified xsi:type="dcterms:W3CDTF">2013-04-25T18:42:49Z</dcterms:modified>
</cp:coreProperties>
</file>